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aw.dst.tk-inline.net/sites/vergabeverfahren/Vibawa4d4/Projektbibliothek/"/>
    </mc:Choice>
  </mc:AlternateContent>
  <xr:revisionPtr revIDLastSave="0" documentId="13_ncr:20000001_{171C90AE-6B0F-419F-9921-D8370912501B}" xr6:coauthVersionLast="47" xr6:coauthVersionMax="47" xr10:uidLastSave="{00000000-0000-0000-0000-000000000000}"/>
  <bookViews>
    <workbookView xWindow="25695" yWindow="0" windowWidth="26010" windowHeight="20985" tabRatio="857" xr2:uid="{00000000-000D-0000-FFFF-FFFF00000000}"/>
  </bookViews>
  <sheets>
    <sheet name="Glasaufmaß" sheetId="146" r:id="rId1"/>
  </sheets>
  <externalReferences>
    <externalReference r:id="rId2"/>
  </externalReferences>
  <definedNames>
    <definedName name="_xlnm._FilterDatabase" localSheetId="0" hidden="1">Glasaufmaß!$A$5:$H$145</definedName>
    <definedName name="AdresseK1">[1]Basisinfo!$B$8</definedName>
    <definedName name="AdresseK2">[1]Basisinfo!$B$9</definedName>
    <definedName name="Bieter">[1]Basisinfo!$E$6</definedName>
    <definedName name="Datum">[1]Basisinfo!$E$4</definedName>
    <definedName name="_xlnm.Print_Titles" localSheetId="0">Glasaufmaß!$1:$5</definedName>
    <definedName name="Format">#REF!</definedName>
    <definedName name="Kunde">[1]Basisinfo!$B$6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9" i="146" l="1"/>
  <c r="K118" i="146"/>
  <c r="K127" i="146"/>
  <c r="K62" i="146"/>
  <c r="K78" i="146"/>
  <c r="K81" i="146"/>
  <c r="K87" i="146"/>
  <c r="K103" i="146"/>
  <c r="K111" i="146"/>
  <c r="K45" i="146"/>
  <c r="K54" i="146"/>
  <c r="K57" i="146"/>
  <c r="K61" i="146"/>
  <c r="K22" i="146"/>
  <c r="K30" i="146"/>
  <c r="K8" i="146"/>
  <c r="F20" i="146"/>
  <c r="K20" i="146" s="1"/>
  <c r="F142" i="146"/>
  <c r="K142" i="146" s="1"/>
  <c r="F141" i="146"/>
  <c r="K141" i="146" s="1"/>
  <c r="F140" i="146"/>
  <c r="K140" i="146" s="1"/>
  <c r="F139" i="146"/>
  <c r="F138" i="146"/>
  <c r="K138" i="146" s="1"/>
  <c r="F137" i="146"/>
  <c r="K137" i="146" s="1"/>
  <c r="F136" i="146"/>
  <c r="K136" i="146" s="1"/>
  <c r="F135" i="146"/>
  <c r="K135" i="146" s="1"/>
  <c r="F145" i="146"/>
  <c r="K145" i="146" s="1"/>
  <c r="F144" i="146"/>
  <c r="K144" i="146" s="1"/>
  <c r="F143" i="146"/>
  <c r="K143" i="146" s="1"/>
  <c r="F127" i="146"/>
  <c r="F126" i="146"/>
  <c r="K126" i="146" s="1"/>
  <c r="F134" i="146"/>
  <c r="K134" i="146" s="1"/>
  <c r="F133" i="146"/>
  <c r="K133" i="146" s="1"/>
  <c r="F132" i="146"/>
  <c r="K132" i="146" s="1"/>
  <c r="F131" i="146"/>
  <c r="K131" i="146" s="1"/>
  <c r="F130" i="146"/>
  <c r="K130" i="146" s="1"/>
  <c r="F129" i="146"/>
  <c r="K129" i="146" s="1"/>
  <c r="F128" i="146"/>
  <c r="K128" i="146" s="1"/>
  <c r="F125" i="146"/>
  <c r="K125" i="146" s="1"/>
  <c r="F124" i="146"/>
  <c r="K124" i="146" s="1"/>
  <c r="F123" i="146"/>
  <c r="K123" i="146" s="1"/>
  <c r="F122" i="146"/>
  <c r="K122" i="146" s="1"/>
  <c r="F121" i="146"/>
  <c r="K121" i="146" s="1"/>
  <c r="F120" i="146"/>
  <c r="K120" i="146" s="1"/>
  <c r="F119" i="146"/>
  <c r="K119" i="146" s="1"/>
  <c r="F118" i="146"/>
  <c r="F117" i="146"/>
  <c r="K117" i="146" s="1"/>
  <c r="F116" i="146"/>
  <c r="K116" i="146" s="1"/>
  <c r="F115" i="146"/>
  <c r="K115" i="146" s="1"/>
  <c r="F114" i="146"/>
  <c r="K114" i="146" s="1"/>
  <c r="F113" i="146"/>
  <c r="K113" i="146" s="1"/>
  <c r="F112" i="146"/>
  <c r="K112" i="146" s="1"/>
  <c r="F111" i="146"/>
  <c r="F110" i="146"/>
  <c r="K110" i="146" s="1"/>
  <c r="F109" i="146"/>
  <c r="K109" i="146" s="1"/>
  <c r="F108" i="146"/>
  <c r="K108" i="146" s="1"/>
  <c r="F107" i="146"/>
  <c r="K107" i="146" s="1"/>
  <c r="F106" i="146"/>
  <c r="K106" i="146" s="1"/>
  <c r="F105" i="146"/>
  <c r="K105" i="146" s="1"/>
  <c r="F104" i="146"/>
  <c r="K104" i="146" s="1"/>
  <c r="F103" i="146"/>
  <c r="F102" i="146"/>
  <c r="K102" i="146" s="1"/>
  <c r="F101" i="146"/>
  <c r="K101" i="146" s="1"/>
  <c r="F100" i="146"/>
  <c r="K100" i="146" s="1"/>
  <c r="F99" i="146"/>
  <c r="K99" i="146" s="1"/>
  <c r="F98" i="146"/>
  <c r="K98" i="146" s="1"/>
  <c r="F96" i="146"/>
  <c r="K96" i="146" s="1"/>
  <c r="F95" i="146"/>
  <c r="K95" i="146" s="1"/>
  <c r="F94" i="146"/>
  <c r="K94" i="146" s="1"/>
  <c r="F93" i="146"/>
  <c r="K93" i="146" s="1"/>
  <c r="F97" i="146"/>
  <c r="K97" i="146" s="1"/>
  <c r="F92" i="146"/>
  <c r="K92" i="146" s="1"/>
  <c r="F91" i="146"/>
  <c r="K91" i="146" s="1"/>
  <c r="F90" i="146"/>
  <c r="K90" i="146" s="1"/>
  <c r="F89" i="146"/>
  <c r="K89" i="146" s="1"/>
  <c r="F88" i="146"/>
  <c r="K88" i="146" s="1"/>
  <c r="F87" i="146"/>
  <c r="F86" i="146"/>
  <c r="K86" i="146" s="1"/>
  <c r="F85" i="146"/>
  <c r="K85" i="146" s="1"/>
  <c r="F84" i="146"/>
  <c r="K84" i="146" s="1"/>
  <c r="F83" i="146"/>
  <c r="K83" i="146" s="1"/>
  <c r="F82" i="146"/>
  <c r="K82" i="146" s="1"/>
  <c r="F80" i="146"/>
  <c r="K80" i="146" s="1"/>
  <c r="F79" i="146"/>
  <c r="K79" i="146" s="1"/>
  <c r="F78" i="146"/>
  <c r="F77" i="146"/>
  <c r="K77" i="146" s="1"/>
  <c r="F76" i="146"/>
  <c r="K76" i="146" s="1"/>
  <c r="F75" i="146"/>
  <c r="K75" i="146" s="1"/>
  <c r="F74" i="146"/>
  <c r="K74" i="146" s="1"/>
  <c r="F73" i="146"/>
  <c r="K73" i="146" s="1"/>
  <c r="F72" i="146"/>
  <c r="K72" i="146" s="1"/>
  <c r="F71" i="146"/>
  <c r="K71" i="146" s="1"/>
  <c r="F69" i="146"/>
  <c r="K69" i="146" s="1"/>
  <c r="F68" i="146"/>
  <c r="K68" i="146" s="1"/>
  <c r="F67" i="146"/>
  <c r="K67" i="146" s="1"/>
  <c r="F66" i="146"/>
  <c r="K66" i="146" s="1"/>
  <c r="F65" i="146"/>
  <c r="K65" i="146" s="1"/>
  <c r="F64" i="146"/>
  <c r="K64" i="146" s="1"/>
  <c r="F63" i="146"/>
  <c r="K63" i="146" s="1"/>
  <c r="F62" i="146"/>
  <c r="F61" i="146"/>
  <c r="F60" i="146"/>
  <c r="K60" i="146" s="1"/>
  <c r="F59" i="146"/>
  <c r="K59" i="146" s="1"/>
  <c r="F58" i="146"/>
  <c r="K58" i="146" s="1"/>
  <c r="F57" i="146"/>
  <c r="F56" i="146"/>
  <c r="K56" i="146" s="1"/>
  <c r="F55" i="146"/>
  <c r="K55" i="146" s="1"/>
  <c r="F54" i="146"/>
  <c r="F53" i="146"/>
  <c r="K53" i="146" s="1"/>
  <c r="F52" i="146"/>
  <c r="K52" i="146" s="1"/>
  <c r="F51" i="146"/>
  <c r="K51" i="146" s="1"/>
  <c r="F50" i="146"/>
  <c r="K50" i="146" s="1"/>
  <c r="F49" i="146"/>
  <c r="K49" i="146" s="1"/>
  <c r="F48" i="146"/>
  <c r="K48" i="146" s="1"/>
  <c r="F47" i="146"/>
  <c r="K47" i="146" s="1"/>
  <c r="F45" i="146"/>
  <c r="F44" i="146"/>
  <c r="K44" i="146" s="1"/>
  <c r="F43" i="146"/>
  <c r="K43" i="146" s="1"/>
  <c r="F42" i="146"/>
  <c r="K42" i="146" s="1"/>
  <c r="F41" i="146"/>
  <c r="K41" i="146" s="1"/>
  <c r="F40" i="146"/>
  <c r="K40" i="146" s="1"/>
  <c r="F39" i="146"/>
  <c r="K39" i="146" s="1"/>
  <c r="F38" i="146"/>
  <c r="K38" i="146" s="1"/>
  <c r="F37" i="146"/>
  <c r="K37" i="146" s="1"/>
  <c r="F36" i="146"/>
  <c r="K36" i="146" s="1"/>
  <c r="F35" i="146"/>
  <c r="K35" i="146" s="1"/>
  <c r="F34" i="146"/>
  <c r="K34" i="146" s="1"/>
  <c r="F32" i="146"/>
  <c r="K32" i="146" s="1"/>
  <c r="F31" i="146"/>
  <c r="K31" i="146" s="1"/>
  <c r="F30" i="146"/>
  <c r="F29" i="146"/>
  <c r="K29" i="146" s="1"/>
  <c r="F28" i="146"/>
  <c r="K28" i="146" s="1"/>
  <c r="F27" i="146"/>
  <c r="K27" i="146" s="1"/>
  <c r="F26" i="146"/>
  <c r="K26" i="146" s="1"/>
  <c r="F25" i="146"/>
  <c r="K25" i="146" s="1"/>
  <c r="F24" i="146"/>
  <c r="K24" i="146" s="1"/>
  <c r="F23" i="146"/>
  <c r="K23" i="146" s="1"/>
  <c r="F22" i="146"/>
  <c r="F21" i="146"/>
  <c r="K21" i="146" s="1"/>
  <c r="F19" i="146"/>
  <c r="K19" i="146" s="1"/>
  <c r="F18" i="146"/>
  <c r="K18" i="146" s="1"/>
  <c r="F12" i="146"/>
  <c r="K12" i="146" s="1"/>
  <c r="F11" i="146"/>
  <c r="K11" i="146" s="1"/>
  <c r="F15" i="146"/>
  <c r="K15" i="146" s="1"/>
  <c r="F17" i="146"/>
  <c r="K17" i="146" s="1"/>
  <c r="F14" i="146"/>
  <c r="K14" i="146" s="1"/>
  <c r="F13" i="146"/>
  <c r="K13" i="146" s="1"/>
  <c r="F10" i="146"/>
  <c r="K10" i="146" s="1"/>
  <c r="F9" i="146"/>
  <c r="K9" i="146" s="1"/>
  <c r="F8" i="146"/>
  <c r="F7" i="146"/>
  <c r="F33" i="146" l="1"/>
  <c r="K33" i="146" s="1"/>
  <c r="F46" i="146"/>
  <c r="K46" i="146" s="1"/>
  <c r="F70" i="146"/>
  <c r="K70" i="146" s="1"/>
  <c r="K7" i="146"/>
  <c r="F16" i="146"/>
  <c r="K16" i="146" s="1"/>
  <c r="K147" i="146" l="1"/>
  <c r="F147" i="146"/>
  <c r="F3" i="146" s="1"/>
</calcChain>
</file>

<file path=xl/sharedStrings.xml><?xml version="1.0" encoding="utf-8"?>
<sst xmlns="http://schemas.openxmlformats.org/spreadsheetml/2006/main" count="765" uniqueCount="74">
  <si>
    <t>Fläche</t>
  </si>
  <si>
    <t>Küche</t>
  </si>
  <si>
    <t>Standort</t>
  </si>
  <si>
    <t>Raum-Nr.</t>
  </si>
  <si>
    <t>Reinigungsgruppe</t>
  </si>
  <si>
    <t>2.OG</t>
  </si>
  <si>
    <t>Etage</t>
  </si>
  <si>
    <t>1.OG</t>
  </si>
  <si>
    <t>EG</t>
  </si>
  <si>
    <t>Gesamtsumme</t>
  </si>
  <si>
    <t>Durchgangstüren</t>
  </si>
  <si>
    <t>Durchgang</t>
  </si>
  <si>
    <t>Schulung Lehrlinge</t>
  </si>
  <si>
    <t>Geschäftsstelle, Poststelle</t>
  </si>
  <si>
    <t>Aufzug 1</t>
  </si>
  <si>
    <t>Schulung Innenhof</t>
  </si>
  <si>
    <t>Büro Innenhof</t>
  </si>
  <si>
    <t>Aufzug 2</t>
  </si>
  <si>
    <t>Treppenhaus 2</t>
  </si>
  <si>
    <t>Aufzug 1 Tür</t>
  </si>
  <si>
    <t>Aufzug 2 Tür</t>
  </si>
  <si>
    <t xml:space="preserve">EG </t>
  </si>
  <si>
    <t>Oberlichter</t>
  </si>
  <si>
    <t>Durchgang Poststelle</t>
  </si>
  <si>
    <t>Fassade</t>
  </si>
  <si>
    <t>2,22b</t>
  </si>
  <si>
    <t>2,22a</t>
  </si>
  <si>
    <t>2,19a</t>
  </si>
  <si>
    <t>3.OG</t>
  </si>
  <si>
    <t>3,21a</t>
  </si>
  <si>
    <t>3,19b</t>
  </si>
  <si>
    <t>3,19a</t>
  </si>
  <si>
    <t>3,18b</t>
  </si>
  <si>
    <t>3,18a</t>
  </si>
  <si>
    <t>3,17b</t>
  </si>
  <si>
    <t>3,17a</t>
  </si>
  <si>
    <t>3,11a</t>
  </si>
  <si>
    <t>4.OG</t>
  </si>
  <si>
    <t>Glas</t>
  </si>
  <si>
    <t>4,17a</t>
  </si>
  <si>
    <t>4,17b</t>
  </si>
  <si>
    <t>4,1a</t>
  </si>
  <si>
    <t>4,1b</t>
  </si>
  <si>
    <t>4,1c</t>
  </si>
  <si>
    <t>4,9c</t>
  </si>
  <si>
    <t>4,9b</t>
  </si>
  <si>
    <t>4,9a</t>
  </si>
  <si>
    <t>4,02a</t>
  </si>
  <si>
    <t>4,01b</t>
  </si>
  <si>
    <t>4,01a</t>
  </si>
  <si>
    <t>5.OG</t>
  </si>
  <si>
    <t>Glasauschnitt Türen</t>
  </si>
  <si>
    <t>Trennwände</t>
  </si>
  <si>
    <t>Zugang Dach</t>
  </si>
  <si>
    <t>Treppe zum Dach</t>
  </si>
  <si>
    <t>Dach</t>
  </si>
  <si>
    <t xml:space="preserve">Gesamt </t>
  </si>
  <si>
    <t xml:space="preserve">Büro </t>
  </si>
  <si>
    <t>Büro</t>
  </si>
  <si>
    <t>Bereich</t>
  </si>
  <si>
    <t>Museumstr. 33-35</t>
  </si>
  <si>
    <t>Anmerkung</t>
  </si>
  <si>
    <t>Innenglas</t>
  </si>
  <si>
    <t>Bezeichnung</t>
  </si>
  <si>
    <t>Turnus
2monatlich, halbjährlich, jährlich</t>
  </si>
  <si>
    <t>einseitig, Fläche ohne Turnus</t>
  </si>
  <si>
    <t>halbjährlich</t>
  </si>
  <si>
    <t>jährlich</t>
  </si>
  <si>
    <t>Turnus</t>
  </si>
  <si>
    <t>Multiplikator</t>
  </si>
  <si>
    <t>2 monatlich</t>
  </si>
  <si>
    <t>Fläche in m² pro Jahr,
doppelseitig</t>
  </si>
  <si>
    <t>TK-Standort Museumstraße, Hamburg-Altona  -  Glasaufmaß</t>
  </si>
  <si>
    <t>Summe Glasfläche p.a., 
doppelseitig gezählt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</si>
</sst>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m²&quot;"/>
  </numFmts>
  <fonts count="13" x14ac:knownFonts="1">
    <font>
      <sz val="10"/>
      <color indexed="8"/>
      <name val="MS Sans Serif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</font>
    <font>
      <sz val="11"/>
      <color indexed="8"/>
      <name val="MS Sans Serif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sz val="9"/>
      <color indexed="8"/>
      <name val="MS Sans Serif"/>
    </font>
    <font>
      <b/>
      <sz val="11"/>
      <color rgb="FF1F497D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EFFFF"/>
        <bgColor rgb="FFFE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E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FEFFFF"/>
      </patternFill>
    </fill>
    <fill>
      <patternFill patternType="solid">
        <fgColor rgb="FFFFFF99"/>
        <bgColor rgb="FFC0C0C0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9" fontId="7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44" fontId="7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vertical="center"/>
    </xf>
    <xf numFmtId="0" fontId="2" fillId="5" borderId="12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164" fontId="10" fillId="6" borderId="14" xfId="0" applyNumberFormat="1" applyFont="1" applyFill="1" applyBorder="1" applyAlignment="1">
      <alignment horizontal="center" vertical="center"/>
    </xf>
    <xf numFmtId="0" fontId="3" fillId="7" borderId="3" xfId="0" applyFont="1" applyFill="1" applyBorder="1"/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1" fontId="2" fillId="10" borderId="2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2" fillId="9" borderId="4" xfId="0" applyNumberFormat="1" applyFont="1" applyFill="1" applyBorder="1" applyAlignment="1">
      <alignment horizontal="center" vertical="center"/>
    </xf>
    <xf numFmtId="1" fontId="2" fillId="10" borderId="4" xfId="0" applyNumberFormat="1" applyFont="1" applyFill="1" applyBorder="1" applyAlignment="1">
      <alignment horizontal="center" vertical="center"/>
    </xf>
    <xf numFmtId="1" fontId="2" fillId="10" borderId="9" xfId="0" applyNumberFormat="1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1" fontId="2" fillId="10" borderId="9" xfId="0" applyNumberFormat="1" applyFont="1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0" fillId="0" borderId="0" xfId="0"/>
  </cellXfs>
  <cellStyles count="9">
    <cellStyle name="Euro" xfId="1" xr:uid="{00000000-0005-0000-0000-000000000000}"/>
    <cellStyle name="Euro 2" xfId="2" xr:uid="{00000000-0005-0000-0000-000001000000}"/>
    <cellStyle name="Excel Built-in Normal" xfId="3" xr:uid="{00000000-0005-0000-0000-000002000000}"/>
    <cellStyle name="Prozent 2" xfId="4" xr:uid="{00000000-0005-0000-0000-000003000000}"/>
    <cellStyle name="Standard" xfId="0" builtinId="0"/>
    <cellStyle name="Standard 2" xfId="5" xr:uid="{00000000-0005-0000-0000-000005000000}"/>
    <cellStyle name="Standard 3" xfId="6" xr:uid="{00000000-0005-0000-0000-000006000000}"/>
    <cellStyle name="Standard 4" xfId="7" xr:uid="{00000000-0005-0000-0000-000007000000}"/>
    <cellStyle name="Währung 2" xfId="8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OELF001\Projekte\Users\R34DB~1.STE\AppData\Local\Temp\3\$$dv$$\Beratung%202012\&#220;bung\Ausschreibung%20HWK\Kopie%20von%20Kopie%20von%20Aussenfl&#228;chen%20Kopie%20von%20LV%20und%20Kalkulationen%20HWK_24%2005%202010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sinfo"/>
      <sheetName val="Preisblatt LOS 1"/>
      <sheetName val="Preisblatt LOS 2"/>
      <sheetName val="LV  UHR"/>
      <sheetName val="Leistungswerte"/>
      <sheetName val="SVS UHR"/>
      <sheetName val="Kalk UHR"/>
      <sheetName val="SVS Glas"/>
      <sheetName val="Kalk Glasreinigung"/>
      <sheetName val="Kalk Hygieneartikel"/>
      <sheetName val="verrechenbare Arbeitstage"/>
      <sheetName val="Kalk Aussenflächen"/>
      <sheetName val="Turnus"/>
      <sheetName val="SVS"/>
      <sheetName val="Glasflächenübersicht"/>
    </sheetNames>
    <sheetDataSet>
      <sheetData sheetId="0" refreshError="1">
        <row r="6">
          <cell r="B6" t="str">
            <v>Handwerkskammer für München und Oberbayern</v>
          </cell>
          <cell r="E6" t="str">
            <v xml:space="preserve"> </v>
          </cell>
        </row>
        <row r="8">
          <cell r="B8" t="str">
            <v>Mühldorfstraße 4-6</v>
          </cell>
        </row>
        <row r="9">
          <cell r="B9" t="str">
            <v>81671 München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K150"/>
  <sheetViews>
    <sheetView tabSelected="1" zoomScaleNormal="100" workbookViewId="0">
      <pane ySplit="6" topLeftCell="A7" activePane="bottomLeft" state="frozen"/>
      <selection pane="bottomLeft" activeCell="E16" sqref="E16"/>
    </sheetView>
  </sheetViews>
  <sheetFormatPr baseColWidth="10" defaultColWidth="9.140625" defaultRowHeight="11.25" x14ac:dyDescent="0.2"/>
  <cols>
    <col min="1" max="2" width="17.42578125" style="1" customWidth="1"/>
    <col min="3" max="3" width="7.5703125" style="5" customWidth="1"/>
    <col min="4" max="4" width="12.140625" style="5" customWidth="1"/>
    <col min="5" max="5" width="19.5703125" style="1" customWidth="1"/>
    <col min="6" max="6" width="12.5703125" style="2" customWidth="1"/>
    <col min="7" max="7" width="15.28515625" style="5" customWidth="1"/>
    <col min="8" max="8" width="16.140625" style="5" customWidth="1"/>
    <col min="9" max="9" width="12.85546875" style="5" customWidth="1"/>
    <col min="10" max="10" width="11.5703125" style="5" customWidth="1"/>
    <col min="11" max="11" width="19.5703125" style="1" customWidth="1"/>
    <col min="12" max="16384" width="9.140625" style="1"/>
  </cols>
  <sheetData>
    <row r="1" spans="1:11" ht="24" customHeight="1" x14ac:dyDescent="0.2">
      <c r="A1" s="50" t="s">
        <v>72</v>
      </c>
      <c r="B1" s="50"/>
      <c r="C1" s="51"/>
      <c r="D1" s="52"/>
      <c r="E1" s="52"/>
      <c r="F1" s="52"/>
      <c r="G1" s="52"/>
      <c r="H1" s="52"/>
      <c r="I1" s="52"/>
      <c r="J1" s="52"/>
      <c r="K1" s="52"/>
    </row>
    <row r="2" spans="1:11" ht="10.15" customHeight="1" thickBot="1" x14ac:dyDescent="0.25"/>
    <row r="3" spans="1:11" ht="15.95" customHeight="1" thickBot="1" x14ac:dyDescent="0.25">
      <c r="A3" s="19" t="s">
        <v>9</v>
      </c>
      <c r="B3" s="20"/>
      <c r="C3" s="21"/>
      <c r="D3" s="21"/>
      <c r="E3" s="20"/>
      <c r="F3" s="22">
        <f>F147</f>
        <v>2984.9376000000016</v>
      </c>
      <c r="G3" s="21"/>
      <c r="H3" s="21"/>
      <c r="I3" s="21"/>
      <c r="J3" s="21"/>
      <c r="K3" s="23"/>
    </row>
    <row r="4" spans="1:11" ht="12" customHeight="1" thickBot="1" x14ac:dyDescent="0.25"/>
    <row r="5" spans="1:11" ht="38.25" customHeight="1" thickBot="1" x14ac:dyDescent="0.25">
      <c r="A5" s="36" t="s">
        <v>2</v>
      </c>
      <c r="B5" s="36" t="s">
        <v>59</v>
      </c>
      <c r="C5" s="36" t="s">
        <v>6</v>
      </c>
      <c r="D5" s="36" t="s">
        <v>3</v>
      </c>
      <c r="E5" s="36" t="s">
        <v>63</v>
      </c>
      <c r="F5" s="37" t="s">
        <v>0</v>
      </c>
      <c r="G5" s="36" t="s">
        <v>4</v>
      </c>
      <c r="H5" s="38" t="s">
        <v>61</v>
      </c>
      <c r="I5" s="46" t="s">
        <v>64</v>
      </c>
      <c r="J5" s="47"/>
      <c r="K5" s="39" t="s">
        <v>71</v>
      </c>
    </row>
    <row r="6" spans="1:11" ht="12" customHeight="1" x14ac:dyDescent="0.2">
      <c r="A6" s="40"/>
      <c r="B6" s="41"/>
      <c r="C6" s="40"/>
      <c r="D6" s="40"/>
      <c r="E6" s="40"/>
      <c r="F6" s="42"/>
      <c r="G6" s="40"/>
      <c r="H6" s="43"/>
      <c r="I6" s="44" t="s">
        <v>68</v>
      </c>
      <c r="J6" s="45" t="s">
        <v>69</v>
      </c>
      <c r="K6" s="39"/>
    </row>
    <row r="7" spans="1:11" ht="15" customHeight="1" x14ac:dyDescent="0.2">
      <c r="A7" s="12" t="s">
        <v>60</v>
      </c>
      <c r="B7" s="16"/>
      <c r="C7" s="17" t="s">
        <v>8</v>
      </c>
      <c r="D7" s="17"/>
      <c r="E7" s="12" t="s">
        <v>10</v>
      </c>
      <c r="F7" s="13">
        <f>SUM(4.53*3.05)*2</f>
        <v>27.632999999999999</v>
      </c>
      <c r="G7" s="17" t="s">
        <v>38</v>
      </c>
      <c r="H7" s="15" t="s">
        <v>62</v>
      </c>
      <c r="I7" s="15" t="s">
        <v>70</v>
      </c>
      <c r="J7" s="15">
        <v>6</v>
      </c>
      <c r="K7" s="24">
        <f>J7*F7*2</f>
        <v>331.596</v>
      </c>
    </row>
    <row r="8" spans="1:11" ht="15" customHeight="1" x14ac:dyDescent="0.2">
      <c r="A8" s="12" t="s">
        <v>60</v>
      </c>
      <c r="B8" s="3"/>
      <c r="C8" s="17" t="s">
        <v>8</v>
      </c>
      <c r="D8" s="17"/>
      <c r="E8" s="12" t="s">
        <v>11</v>
      </c>
      <c r="F8" s="13">
        <f>SUM(3.05*9.9)*2</f>
        <v>60.39</v>
      </c>
      <c r="G8" s="17" t="s">
        <v>38</v>
      </c>
      <c r="H8" s="15"/>
      <c r="I8" s="15" t="s">
        <v>70</v>
      </c>
      <c r="J8" s="15">
        <v>6</v>
      </c>
      <c r="K8" s="24">
        <f t="shared" ref="K8:K17" si="0">J8*F8*2</f>
        <v>724.68000000000006</v>
      </c>
    </row>
    <row r="9" spans="1:11" ht="15" customHeight="1" x14ac:dyDescent="0.2">
      <c r="A9" s="12" t="s">
        <v>60</v>
      </c>
      <c r="B9" s="3"/>
      <c r="C9" s="17" t="s">
        <v>8</v>
      </c>
      <c r="D9" s="17"/>
      <c r="E9" s="12" t="s">
        <v>12</v>
      </c>
      <c r="F9" s="13">
        <f>SUM(3.28*4.24)*15</f>
        <v>208.608</v>
      </c>
      <c r="G9" s="17" t="s">
        <v>38</v>
      </c>
      <c r="H9" s="4"/>
      <c r="I9" s="15" t="s">
        <v>70</v>
      </c>
      <c r="J9" s="15">
        <v>6</v>
      </c>
      <c r="K9" s="24">
        <f t="shared" si="0"/>
        <v>2503.2960000000003</v>
      </c>
    </row>
    <row r="10" spans="1:11" ht="15" customHeight="1" x14ac:dyDescent="0.2">
      <c r="A10" s="12" t="s">
        <v>60</v>
      </c>
      <c r="B10" s="3"/>
      <c r="C10" s="17" t="s">
        <v>8</v>
      </c>
      <c r="D10" s="17"/>
      <c r="E10" s="12" t="s">
        <v>13</v>
      </c>
      <c r="F10" s="13">
        <f>SUM(3.28*6.52)+(3.28*2.3)+(3.28*0.9)+(3.28*2.1)+(3.28*0.9)+(3.28*2.1)+(3.28*17.38)+(3.28*6.73)+(3.28*6.73)+(2.6*1.2)</f>
        <v>152.88479999999998</v>
      </c>
      <c r="G10" s="17" t="s">
        <v>38</v>
      </c>
      <c r="H10" s="4"/>
      <c r="I10" s="15" t="s">
        <v>70</v>
      </c>
      <c r="J10" s="15">
        <v>6</v>
      </c>
      <c r="K10" s="24">
        <f t="shared" si="0"/>
        <v>1834.6175999999998</v>
      </c>
    </row>
    <row r="11" spans="1:11" ht="15" customHeight="1" x14ac:dyDescent="0.2">
      <c r="A11" s="12" t="s">
        <v>60</v>
      </c>
      <c r="B11" s="3"/>
      <c r="C11" s="17"/>
      <c r="D11" s="17"/>
      <c r="E11" s="12" t="s">
        <v>14</v>
      </c>
      <c r="F11" s="13">
        <f>SUM(20*2.36)+(20*2.77)+(1.55*2.1)+(1.2*2.1)</f>
        <v>108.37499999999999</v>
      </c>
      <c r="G11" s="17" t="s">
        <v>38</v>
      </c>
      <c r="H11" s="4" t="s">
        <v>62</v>
      </c>
      <c r="I11" s="4" t="s">
        <v>66</v>
      </c>
      <c r="J11" s="15">
        <v>2</v>
      </c>
      <c r="K11" s="24">
        <f t="shared" si="0"/>
        <v>433.49999999999994</v>
      </c>
    </row>
    <row r="12" spans="1:11" ht="15" customHeight="1" x14ac:dyDescent="0.2">
      <c r="A12" s="12" t="s">
        <v>60</v>
      </c>
      <c r="B12" s="3"/>
      <c r="C12" s="17"/>
      <c r="D12" s="17"/>
      <c r="E12" s="12" t="s">
        <v>19</v>
      </c>
      <c r="F12" s="13">
        <f>SUM(0.38*2.05)*2+(0.7*2.05)</f>
        <v>2.9929999999999994</v>
      </c>
      <c r="G12" s="17" t="s">
        <v>38</v>
      </c>
      <c r="H12" s="4" t="s">
        <v>62</v>
      </c>
      <c r="I12" s="4" t="s">
        <v>66</v>
      </c>
      <c r="J12" s="15">
        <v>2</v>
      </c>
      <c r="K12" s="24">
        <f t="shared" si="0"/>
        <v>11.971999999999998</v>
      </c>
    </row>
    <row r="13" spans="1:11" ht="15" customHeight="1" x14ac:dyDescent="0.2">
      <c r="A13" s="12" t="s">
        <v>60</v>
      </c>
      <c r="B13" s="3"/>
      <c r="C13" s="17" t="s">
        <v>8</v>
      </c>
      <c r="D13" s="17"/>
      <c r="E13" s="12" t="s">
        <v>15</v>
      </c>
      <c r="F13" s="13">
        <f>SUM(4.23*3.4)+(1.75*3.4)</f>
        <v>20.332000000000001</v>
      </c>
      <c r="G13" s="17" t="s">
        <v>38</v>
      </c>
      <c r="H13" s="4"/>
      <c r="I13" s="4" t="s">
        <v>66</v>
      </c>
      <c r="J13" s="15">
        <v>2</v>
      </c>
      <c r="K13" s="24">
        <f t="shared" si="0"/>
        <v>81.328000000000003</v>
      </c>
    </row>
    <row r="14" spans="1:11" ht="15" customHeight="1" x14ac:dyDescent="0.2">
      <c r="A14" s="12" t="s">
        <v>60</v>
      </c>
      <c r="B14" s="3"/>
      <c r="C14" s="17" t="s">
        <v>8</v>
      </c>
      <c r="D14" s="17"/>
      <c r="E14" s="12" t="s">
        <v>16</v>
      </c>
      <c r="F14" s="13">
        <f>4.24*3.4</f>
        <v>14.416</v>
      </c>
      <c r="G14" s="17" t="s">
        <v>38</v>
      </c>
      <c r="H14" s="14"/>
      <c r="I14" s="4" t="s">
        <v>66</v>
      </c>
      <c r="J14" s="15">
        <v>2</v>
      </c>
      <c r="K14" s="24">
        <f t="shared" si="0"/>
        <v>57.664000000000001</v>
      </c>
    </row>
    <row r="15" spans="1:11" ht="15" customHeight="1" x14ac:dyDescent="0.2">
      <c r="A15" s="12" t="s">
        <v>60</v>
      </c>
      <c r="B15" s="3"/>
      <c r="C15" s="17"/>
      <c r="D15" s="17"/>
      <c r="E15" s="12" t="s">
        <v>17</v>
      </c>
      <c r="F15" s="13">
        <f>SUM(20*2.51)+(20*2)+(1.55*2.1)+(1.2*2.1)</f>
        <v>95.97499999999998</v>
      </c>
      <c r="G15" s="17" t="s">
        <v>38</v>
      </c>
      <c r="H15" s="4" t="s">
        <v>62</v>
      </c>
      <c r="I15" s="4" t="s">
        <v>66</v>
      </c>
      <c r="J15" s="15">
        <v>2</v>
      </c>
      <c r="K15" s="24">
        <f t="shared" si="0"/>
        <v>383.89999999999992</v>
      </c>
    </row>
    <row r="16" spans="1:11" ht="15" customHeight="1" x14ac:dyDescent="0.2">
      <c r="A16" s="12" t="s">
        <v>60</v>
      </c>
      <c r="B16" s="3"/>
      <c r="C16" s="17"/>
      <c r="D16" s="17"/>
      <c r="E16" s="12" t="s">
        <v>20</v>
      </c>
      <c r="F16" s="13">
        <f>F12</f>
        <v>2.9929999999999994</v>
      </c>
      <c r="G16" s="17" t="s">
        <v>38</v>
      </c>
      <c r="H16" s="4" t="s">
        <v>62</v>
      </c>
      <c r="I16" s="4" t="s">
        <v>66</v>
      </c>
      <c r="J16" s="15">
        <v>2</v>
      </c>
      <c r="K16" s="24">
        <f t="shared" si="0"/>
        <v>11.971999999999998</v>
      </c>
    </row>
    <row r="17" spans="1:11" ht="15" customHeight="1" x14ac:dyDescent="0.2">
      <c r="A17" s="12" t="s">
        <v>60</v>
      </c>
      <c r="B17" s="3"/>
      <c r="C17" s="17"/>
      <c r="D17" s="17"/>
      <c r="E17" s="12" t="s">
        <v>18</v>
      </c>
      <c r="F17" s="13">
        <f>SUM(1.67*2.46)*5+(3*1.66)</f>
        <v>25.521000000000001</v>
      </c>
      <c r="G17" s="17" t="s">
        <v>38</v>
      </c>
      <c r="H17" s="15"/>
      <c r="I17" s="4" t="s">
        <v>66</v>
      </c>
      <c r="J17" s="15">
        <v>2</v>
      </c>
      <c r="K17" s="24">
        <f t="shared" si="0"/>
        <v>102.084</v>
      </c>
    </row>
    <row r="18" spans="1:11" ht="15" customHeight="1" x14ac:dyDescent="0.2">
      <c r="A18" s="12" t="s">
        <v>60</v>
      </c>
      <c r="B18" s="3"/>
      <c r="C18" s="17" t="s">
        <v>21</v>
      </c>
      <c r="D18" s="17"/>
      <c r="E18" s="12" t="s">
        <v>22</v>
      </c>
      <c r="F18" s="13">
        <f>SUM(0.4*0.95)*5</f>
        <v>1.9</v>
      </c>
      <c r="G18" s="17" t="s">
        <v>38</v>
      </c>
      <c r="H18" s="4" t="s">
        <v>62</v>
      </c>
      <c r="I18" s="4" t="s">
        <v>66</v>
      </c>
      <c r="J18" s="15">
        <v>2</v>
      </c>
      <c r="K18" s="24">
        <f>J18*F18*2</f>
        <v>7.6</v>
      </c>
    </row>
    <row r="19" spans="1:11" ht="15" customHeight="1" x14ac:dyDescent="0.2">
      <c r="A19" s="12" t="s">
        <v>60</v>
      </c>
      <c r="B19" s="3"/>
      <c r="C19" s="17" t="s">
        <v>8</v>
      </c>
      <c r="D19" s="17"/>
      <c r="E19" s="12" t="s">
        <v>23</v>
      </c>
      <c r="F19" s="13">
        <f>SUM(1.95*2.6)</f>
        <v>5.07</v>
      </c>
      <c r="G19" s="17" t="s">
        <v>38</v>
      </c>
      <c r="H19" s="4" t="s">
        <v>62</v>
      </c>
      <c r="I19" s="15" t="s">
        <v>66</v>
      </c>
      <c r="J19" s="15">
        <v>2</v>
      </c>
      <c r="K19" s="24">
        <f t="shared" ref="K19:K82" si="1">J19*F19*2</f>
        <v>20.28</v>
      </c>
    </row>
    <row r="20" spans="1:11" ht="15" customHeight="1" x14ac:dyDescent="0.2">
      <c r="A20" s="12" t="s">
        <v>60</v>
      </c>
      <c r="B20" s="3"/>
      <c r="C20" s="17" t="s">
        <v>7</v>
      </c>
      <c r="D20" s="17"/>
      <c r="E20" s="12" t="s">
        <v>10</v>
      </c>
      <c r="F20" s="13">
        <f>SUM(2.6*2.57)*5</f>
        <v>33.409999999999997</v>
      </c>
      <c r="G20" s="17" t="s">
        <v>38</v>
      </c>
      <c r="H20" s="4" t="s">
        <v>62</v>
      </c>
      <c r="I20" s="4" t="s">
        <v>66</v>
      </c>
      <c r="J20" s="15">
        <v>2</v>
      </c>
      <c r="K20" s="24">
        <f t="shared" si="1"/>
        <v>133.63999999999999</v>
      </c>
    </row>
    <row r="21" spans="1:11" ht="15" customHeight="1" x14ac:dyDescent="0.2">
      <c r="A21" s="12" t="s">
        <v>60</v>
      </c>
      <c r="B21" s="3"/>
      <c r="C21" s="17" t="s">
        <v>7</v>
      </c>
      <c r="D21" s="17"/>
      <c r="E21" s="12" t="s">
        <v>22</v>
      </c>
      <c r="F21" s="13">
        <f>SUM(0.4*0.95)*13</f>
        <v>4.9400000000000004</v>
      </c>
      <c r="G21" s="17" t="s">
        <v>38</v>
      </c>
      <c r="H21" s="4" t="s">
        <v>62</v>
      </c>
      <c r="I21" s="4" t="s">
        <v>66</v>
      </c>
      <c r="J21" s="15">
        <v>2</v>
      </c>
      <c r="K21" s="24">
        <f t="shared" si="1"/>
        <v>19.760000000000002</v>
      </c>
    </row>
    <row r="22" spans="1:11" ht="15" customHeight="1" x14ac:dyDescent="0.2">
      <c r="A22" s="12" t="s">
        <v>60</v>
      </c>
      <c r="B22" s="3"/>
      <c r="C22" s="17" t="s">
        <v>7</v>
      </c>
      <c r="D22" s="17"/>
      <c r="E22" s="12" t="s">
        <v>10</v>
      </c>
      <c r="F22" s="13">
        <f>1.8*2.6</f>
        <v>4.6800000000000006</v>
      </c>
      <c r="G22" s="17" t="s">
        <v>38</v>
      </c>
      <c r="H22" s="4" t="s">
        <v>62</v>
      </c>
      <c r="I22" s="15" t="s">
        <v>66</v>
      </c>
      <c r="J22" s="15">
        <v>2</v>
      </c>
      <c r="K22" s="24">
        <f t="shared" si="1"/>
        <v>18.720000000000002</v>
      </c>
    </row>
    <row r="23" spans="1:11" ht="15" customHeight="1" x14ac:dyDescent="0.2">
      <c r="A23" s="12" t="s">
        <v>60</v>
      </c>
      <c r="B23" s="3"/>
      <c r="C23" s="17" t="s">
        <v>7</v>
      </c>
      <c r="D23" s="17"/>
      <c r="E23" s="12" t="s">
        <v>10</v>
      </c>
      <c r="F23" s="13">
        <f>SUM(1.94*2.6)*2</f>
        <v>10.087999999999999</v>
      </c>
      <c r="G23" s="17" t="s">
        <v>38</v>
      </c>
      <c r="H23" s="4" t="s">
        <v>62</v>
      </c>
      <c r="I23" s="4" t="s">
        <v>66</v>
      </c>
      <c r="J23" s="15">
        <v>2</v>
      </c>
      <c r="K23" s="24">
        <f t="shared" si="1"/>
        <v>40.351999999999997</v>
      </c>
    </row>
    <row r="24" spans="1:11" ht="15" customHeight="1" x14ac:dyDescent="0.2">
      <c r="A24" s="12" t="s">
        <v>60</v>
      </c>
      <c r="B24" s="3"/>
      <c r="C24" s="17" t="s">
        <v>7</v>
      </c>
      <c r="D24" s="17">
        <v>1.08</v>
      </c>
      <c r="E24" s="12" t="s">
        <v>57</v>
      </c>
      <c r="F24" s="13">
        <f>(4.36*2.55)*2</f>
        <v>22.236000000000001</v>
      </c>
      <c r="G24" s="17" t="s">
        <v>38</v>
      </c>
      <c r="H24" s="4"/>
      <c r="I24" s="4" t="s">
        <v>66</v>
      </c>
      <c r="J24" s="15">
        <v>2</v>
      </c>
      <c r="K24" s="24">
        <f t="shared" si="1"/>
        <v>88.944000000000003</v>
      </c>
    </row>
    <row r="25" spans="1:11" ht="15" customHeight="1" x14ac:dyDescent="0.2">
      <c r="A25" s="12" t="s">
        <v>60</v>
      </c>
      <c r="B25" s="3"/>
      <c r="C25" s="17" t="s">
        <v>7</v>
      </c>
      <c r="D25" s="17">
        <v>1.08</v>
      </c>
      <c r="E25" s="12" t="s">
        <v>57</v>
      </c>
      <c r="F25" s="13">
        <f>1.83*2.55</f>
        <v>4.6665000000000001</v>
      </c>
      <c r="G25" s="17" t="s">
        <v>38</v>
      </c>
      <c r="H25" s="4"/>
      <c r="I25" s="15" t="s">
        <v>66</v>
      </c>
      <c r="J25" s="15">
        <v>2</v>
      </c>
      <c r="K25" s="24">
        <f t="shared" si="1"/>
        <v>18.666</v>
      </c>
    </row>
    <row r="26" spans="1:11" ht="15" customHeight="1" x14ac:dyDescent="0.2">
      <c r="A26" s="12" t="s">
        <v>60</v>
      </c>
      <c r="B26" s="3"/>
      <c r="C26" s="17" t="s">
        <v>7</v>
      </c>
      <c r="D26" s="17">
        <v>1.08</v>
      </c>
      <c r="E26" s="12" t="s">
        <v>24</v>
      </c>
      <c r="F26" s="13">
        <f>1.83*0.87</f>
        <v>1.5921000000000001</v>
      </c>
      <c r="G26" s="17" t="s">
        <v>38</v>
      </c>
      <c r="H26" s="4"/>
      <c r="I26" s="4" t="s">
        <v>66</v>
      </c>
      <c r="J26" s="15">
        <v>2</v>
      </c>
      <c r="K26" s="24">
        <f t="shared" si="1"/>
        <v>6.3684000000000003</v>
      </c>
    </row>
    <row r="27" spans="1:11" ht="15" customHeight="1" x14ac:dyDescent="0.2">
      <c r="A27" s="12" t="s">
        <v>60</v>
      </c>
      <c r="B27" s="3"/>
      <c r="C27" s="17" t="s">
        <v>7</v>
      </c>
      <c r="D27" s="17">
        <v>1.08</v>
      </c>
      <c r="E27" s="12" t="s">
        <v>24</v>
      </c>
      <c r="F27" s="13">
        <f>(4.36*0.87)*2</f>
        <v>7.5864000000000003</v>
      </c>
      <c r="G27" s="17" t="s">
        <v>38</v>
      </c>
      <c r="H27" s="4"/>
      <c r="I27" s="4" t="s">
        <v>66</v>
      </c>
      <c r="J27" s="15">
        <v>2</v>
      </c>
      <c r="K27" s="24">
        <f t="shared" si="1"/>
        <v>30.345600000000001</v>
      </c>
    </row>
    <row r="28" spans="1:11" ht="15" customHeight="1" x14ac:dyDescent="0.2">
      <c r="A28" s="12" t="s">
        <v>60</v>
      </c>
      <c r="B28" s="3"/>
      <c r="C28" s="17" t="s">
        <v>7</v>
      </c>
      <c r="D28" s="17">
        <v>1.06</v>
      </c>
      <c r="E28" s="12" t="s">
        <v>58</v>
      </c>
      <c r="F28" s="13">
        <f>1.7*1.7</f>
        <v>2.8899999999999997</v>
      </c>
      <c r="G28" s="17" t="s">
        <v>38</v>
      </c>
      <c r="H28" s="4"/>
      <c r="I28" s="15" t="s">
        <v>66</v>
      </c>
      <c r="J28" s="15">
        <v>2</v>
      </c>
      <c r="K28" s="24">
        <f t="shared" si="1"/>
        <v>11.559999999999999</v>
      </c>
    </row>
    <row r="29" spans="1:11" ht="15" customHeight="1" x14ac:dyDescent="0.2">
      <c r="A29" s="12" t="s">
        <v>60</v>
      </c>
      <c r="B29" s="3"/>
      <c r="C29" s="17" t="s">
        <v>7</v>
      </c>
      <c r="D29" s="17">
        <v>1.05</v>
      </c>
      <c r="E29" s="12" t="s">
        <v>58</v>
      </c>
      <c r="F29" s="13">
        <f>(1.7*1.7)*7+(1.7*0.78)</f>
        <v>21.555999999999997</v>
      </c>
      <c r="G29" s="17" t="s">
        <v>38</v>
      </c>
      <c r="H29" s="4"/>
      <c r="I29" s="4" t="s">
        <v>66</v>
      </c>
      <c r="J29" s="15">
        <v>2</v>
      </c>
      <c r="K29" s="24">
        <f t="shared" si="1"/>
        <v>86.22399999999999</v>
      </c>
    </row>
    <row r="30" spans="1:11" ht="15" customHeight="1" x14ac:dyDescent="0.2">
      <c r="A30" s="12" t="s">
        <v>60</v>
      </c>
      <c r="B30" s="3"/>
      <c r="C30" s="17" t="s">
        <v>7</v>
      </c>
      <c r="D30" s="17">
        <v>1.04</v>
      </c>
      <c r="E30" s="12" t="s">
        <v>58</v>
      </c>
      <c r="F30" s="13">
        <f>(1.7*1.7)*5+(1.7*0.78)</f>
        <v>15.776</v>
      </c>
      <c r="G30" s="17" t="s">
        <v>38</v>
      </c>
      <c r="H30" s="4"/>
      <c r="I30" s="4" t="s">
        <v>66</v>
      </c>
      <c r="J30" s="15">
        <v>2</v>
      </c>
      <c r="K30" s="24">
        <f t="shared" si="1"/>
        <v>63.103999999999999</v>
      </c>
    </row>
    <row r="31" spans="1:11" ht="15" customHeight="1" x14ac:dyDescent="0.2">
      <c r="A31" s="12" t="s">
        <v>60</v>
      </c>
      <c r="B31" s="3"/>
      <c r="C31" s="17" t="s">
        <v>7</v>
      </c>
      <c r="D31" s="17">
        <v>1.03</v>
      </c>
      <c r="E31" s="12" t="s">
        <v>58</v>
      </c>
      <c r="F31" s="13">
        <f>(1.7*1.7)+(0.78*1.7)</f>
        <v>4.2159999999999993</v>
      </c>
      <c r="G31" s="17" t="s">
        <v>38</v>
      </c>
      <c r="H31" s="4"/>
      <c r="I31" s="15" t="s">
        <v>66</v>
      </c>
      <c r="J31" s="15">
        <v>2</v>
      </c>
      <c r="K31" s="24">
        <f t="shared" si="1"/>
        <v>16.863999999999997</v>
      </c>
    </row>
    <row r="32" spans="1:11" ht="15" customHeight="1" x14ac:dyDescent="0.2">
      <c r="A32" s="12" t="s">
        <v>60</v>
      </c>
      <c r="B32" s="3"/>
      <c r="C32" s="17" t="s">
        <v>7</v>
      </c>
      <c r="D32" s="17">
        <v>1.1499999999999999</v>
      </c>
      <c r="E32" s="12" t="s">
        <v>1</v>
      </c>
      <c r="F32" s="13">
        <f>1.49*1.49</f>
        <v>2.2201</v>
      </c>
      <c r="G32" s="17" t="s">
        <v>38</v>
      </c>
      <c r="H32" s="4"/>
      <c r="I32" s="4" t="s">
        <v>66</v>
      </c>
      <c r="J32" s="15">
        <v>2</v>
      </c>
      <c r="K32" s="24">
        <f t="shared" si="1"/>
        <v>8.8803999999999998</v>
      </c>
    </row>
    <row r="33" spans="1:11" ht="15" customHeight="1" x14ac:dyDescent="0.2">
      <c r="A33" s="12" t="s">
        <v>60</v>
      </c>
      <c r="B33" s="3"/>
      <c r="C33" s="17" t="s">
        <v>7</v>
      </c>
      <c r="D33" s="17">
        <v>1.1599999999999999</v>
      </c>
      <c r="E33" s="12" t="s">
        <v>58</v>
      </c>
      <c r="F33" s="13">
        <f>F32</f>
        <v>2.2201</v>
      </c>
      <c r="G33" s="17" t="s">
        <v>38</v>
      </c>
      <c r="H33" s="4"/>
      <c r="I33" s="4" t="s">
        <v>66</v>
      </c>
      <c r="J33" s="15">
        <v>2</v>
      </c>
      <c r="K33" s="24">
        <f t="shared" si="1"/>
        <v>8.8803999999999998</v>
      </c>
    </row>
    <row r="34" spans="1:11" ht="15" customHeight="1" x14ac:dyDescent="0.2">
      <c r="A34" s="12" t="s">
        <v>60</v>
      </c>
      <c r="B34" s="3"/>
      <c r="C34" s="17" t="s">
        <v>7</v>
      </c>
      <c r="D34" s="17">
        <v>1.02</v>
      </c>
      <c r="E34" s="12" t="s">
        <v>58</v>
      </c>
      <c r="F34" s="13">
        <f>(1.7*1.7)*5+(1.7*0.78)</f>
        <v>15.776</v>
      </c>
      <c r="G34" s="17" t="s">
        <v>38</v>
      </c>
      <c r="H34" s="4"/>
      <c r="I34" s="15" t="s">
        <v>66</v>
      </c>
      <c r="J34" s="15">
        <v>2</v>
      </c>
      <c r="K34" s="24">
        <f t="shared" si="1"/>
        <v>63.103999999999999</v>
      </c>
    </row>
    <row r="35" spans="1:11" ht="15" customHeight="1" x14ac:dyDescent="0.2">
      <c r="A35" s="12" t="s">
        <v>60</v>
      </c>
      <c r="B35" s="3"/>
      <c r="C35" s="17" t="s">
        <v>7</v>
      </c>
      <c r="D35" s="17">
        <v>1.01</v>
      </c>
      <c r="E35" s="12" t="s">
        <v>58</v>
      </c>
      <c r="F35" s="13">
        <f>(1.7*1.7)*2+(4.17*1.7)+(4.2*1.7)+(3.17*1.7)+(1.56*1.7)</f>
        <v>28.05</v>
      </c>
      <c r="G35" s="17" t="s">
        <v>38</v>
      </c>
      <c r="H35" s="4"/>
      <c r="I35" s="4" t="s">
        <v>66</v>
      </c>
      <c r="J35" s="15">
        <v>2</v>
      </c>
      <c r="K35" s="24">
        <f t="shared" si="1"/>
        <v>112.2</v>
      </c>
    </row>
    <row r="36" spans="1:11" ht="15" customHeight="1" x14ac:dyDescent="0.2">
      <c r="A36" s="12" t="s">
        <v>60</v>
      </c>
      <c r="B36" s="3"/>
      <c r="C36" s="17" t="s">
        <v>7</v>
      </c>
      <c r="D36" s="17">
        <v>1.01</v>
      </c>
      <c r="E36" s="12" t="s">
        <v>24</v>
      </c>
      <c r="F36" s="13">
        <f>(1.7*1.13)*2+(1.56*1.13)+(3.17*1.13)+(4.2*1.13)+(4.17*1.13)</f>
        <v>18.644999999999996</v>
      </c>
      <c r="G36" s="17" t="s">
        <v>38</v>
      </c>
      <c r="H36" s="4"/>
      <c r="I36" s="4" t="s">
        <v>66</v>
      </c>
      <c r="J36" s="15">
        <v>2</v>
      </c>
      <c r="K36" s="24">
        <f>J36*F36*2</f>
        <v>74.579999999999984</v>
      </c>
    </row>
    <row r="37" spans="1:11" ht="15" customHeight="1" x14ac:dyDescent="0.2">
      <c r="A37" s="12" t="s">
        <v>60</v>
      </c>
      <c r="B37" s="3"/>
      <c r="C37" s="17" t="s">
        <v>7</v>
      </c>
      <c r="D37" s="17">
        <v>1.32</v>
      </c>
      <c r="E37" s="12" t="s">
        <v>58</v>
      </c>
      <c r="F37" s="13">
        <f>(1.7*1.7)*4</f>
        <v>11.559999999999999</v>
      </c>
      <c r="G37" s="17" t="s">
        <v>38</v>
      </c>
      <c r="H37" s="4"/>
      <c r="I37" s="15" t="s">
        <v>66</v>
      </c>
      <c r="J37" s="15">
        <v>2</v>
      </c>
      <c r="K37" s="24">
        <f t="shared" si="1"/>
        <v>46.239999999999995</v>
      </c>
    </row>
    <row r="38" spans="1:11" ht="15" customHeight="1" x14ac:dyDescent="0.2">
      <c r="A38" s="12" t="s">
        <v>60</v>
      </c>
      <c r="B38" s="3"/>
      <c r="C38" s="17" t="s">
        <v>7</v>
      </c>
      <c r="D38" s="17">
        <v>1.32</v>
      </c>
      <c r="E38" s="12" t="s">
        <v>24</v>
      </c>
      <c r="F38" s="13">
        <f>9.9*1.13</f>
        <v>11.186999999999999</v>
      </c>
      <c r="G38" s="17" t="s">
        <v>38</v>
      </c>
      <c r="H38" s="4"/>
      <c r="I38" s="4" t="s">
        <v>66</v>
      </c>
      <c r="J38" s="15">
        <v>2</v>
      </c>
      <c r="K38" s="24">
        <f t="shared" si="1"/>
        <v>44.747999999999998</v>
      </c>
    </row>
    <row r="39" spans="1:11" ht="15" customHeight="1" x14ac:dyDescent="0.2">
      <c r="A39" s="12" t="s">
        <v>60</v>
      </c>
      <c r="B39" s="3"/>
      <c r="C39" s="17" t="s">
        <v>7</v>
      </c>
      <c r="D39" s="17">
        <v>1.21</v>
      </c>
      <c r="E39" s="12" t="s">
        <v>58</v>
      </c>
      <c r="F39" s="13">
        <f>(4.27*2.56)*3+(1.7*1.7)</f>
        <v>35.683599999999998</v>
      </c>
      <c r="G39" s="17" t="s">
        <v>38</v>
      </c>
      <c r="H39" s="4"/>
      <c r="I39" s="4" t="s">
        <v>66</v>
      </c>
      <c r="J39" s="15">
        <v>2</v>
      </c>
      <c r="K39" s="24">
        <f t="shared" si="1"/>
        <v>142.73439999999999</v>
      </c>
    </row>
    <row r="40" spans="1:11" ht="15" customHeight="1" x14ac:dyDescent="0.2">
      <c r="A40" s="12" t="s">
        <v>60</v>
      </c>
      <c r="B40" s="3"/>
      <c r="C40" s="17" t="s">
        <v>7</v>
      </c>
      <c r="D40" s="17">
        <v>1.21</v>
      </c>
      <c r="E40" s="12" t="s">
        <v>24</v>
      </c>
      <c r="F40" s="13">
        <f>4.27*0.83</f>
        <v>3.5440999999999994</v>
      </c>
      <c r="G40" s="17" t="s">
        <v>38</v>
      </c>
      <c r="H40" s="4"/>
      <c r="I40" s="15" t="s">
        <v>66</v>
      </c>
      <c r="J40" s="15">
        <v>2</v>
      </c>
      <c r="K40" s="24">
        <f t="shared" si="1"/>
        <v>14.176399999999997</v>
      </c>
    </row>
    <row r="41" spans="1:11" ht="15" customHeight="1" x14ac:dyDescent="0.2">
      <c r="A41" s="12" t="s">
        <v>60</v>
      </c>
      <c r="B41" s="3"/>
      <c r="C41" s="17" t="s">
        <v>7</v>
      </c>
      <c r="D41" s="17">
        <v>1.3</v>
      </c>
      <c r="E41" s="12" t="s">
        <v>58</v>
      </c>
      <c r="F41" s="13">
        <f>((1.7*1.7)*4)+(4.26*1.7)*2</f>
        <v>26.043999999999997</v>
      </c>
      <c r="G41" s="17" t="s">
        <v>38</v>
      </c>
      <c r="H41" s="14"/>
      <c r="I41" s="4" t="s">
        <v>66</v>
      </c>
      <c r="J41" s="15">
        <v>2</v>
      </c>
      <c r="K41" s="24">
        <f t="shared" si="1"/>
        <v>104.17599999999999</v>
      </c>
    </row>
    <row r="42" spans="1:11" ht="15" customHeight="1" x14ac:dyDescent="0.2">
      <c r="A42" s="12" t="s">
        <v>60</v>
      </c>
      <c r="B42" s="3"/>
      <c r="C42" s="17" t="s">
        <v>7</v>
      </c>
      <c r="D42" s="17">
        <v>1.3</v>
      </c>
      <c r="E42" s="12" t="s">
        <v>24</v>
      </c>
      <c r="F42" s="13">
        <f>4.43*1.13</f>
        <v>5.0058999999999996</v>
      </c>
      <c r="G42" s="17" t="s">
        <v>38</v>
      </c>
      <c r="H42" s="4"/>
      <c r="I42" s="4" t="s">
        <v>66</v>
      </c>
      <c r="J42" s="15">
        <v>2</v>
      </c>
      <c r="K42" s="24">
        <f t="shared" si="1"/>
        <v>20.023599999999998</v>
      </c>
    </row>
    <row r="43" spans="1:11" ht="15" customHeight="1" x14ac:dyDescent="0.2">
      <c r="A43" s="12" t="s">
        <v>60</v>
      </c>
      <c r="B43" s="3"/>
      <c r="C43" s="17" t="s">
        <v>7</v>
      </c>
      <c r="D43" s="17">
        <v>1.29</v>
      </c>
      <c r="E43" s="12" t="s">
        <v>58</v>
      </c>
      <c r="F43" s="13">
        <f>(1.7*1.7)*2</f>
        <v>5.7799999999999994</v>
      </c>
      <c r="G43" s="17" t="s">
        <v>38</v>
      </c>
      <c r="H43" s="4"/>
      <c r="I43" s="15" t="s">
        <v>66</v>
      </c>
      <c r="J43" s="15">
        <v>2</v>
      </c>
      <c r="K43" s="24">
        <f t="shared" si="1"/>
        <v>23.119999999999997</v>
      </c>
    </row>
    <row r="44" spans="1:11" ht="15" customHeight="1" x14ac:dyDescent="0.2">
      <c r="A44" s="12" t="s">
        <v>60</v>
      </c>
      <c r="B44" s="3"/>
      <c r="C44" s="17" t="s">
        <v>7</v>
      </c>
      <c r="D44" s="17">
        <v>1.28</v>
      </c>
      <c r="E44" s="12" t="s">
        <v>58</v>
      </c>
      <c r="F44" s="13">
        <f>(1.7*1.7)*2</f>
        <v>5.7799999999999994</v>
      </c>
      <c r="G44" s="17" t="s">
        <v>38</v>
      </c>
      <c r="H44" s="4"/>
      <c r="I44" s="4" t="s">
        <v>66</v>
      </c>
      <c r="J44" s="15">
        <v>2</v>
      </c>
      <c r="K44" s="24">
        <f t="shared" si="1"/>
        <v>23.119999999999997</v>
      </c>
    </row>
    <row r="45" spans="1:11" ht="15" customHeight="1" x14ac:dyDescent="0.2">
      <c r="A45" s="12" t="s">
        <v>60</v>
      </c>
      <c r="B45" s="3"/>
      <c r="C45" s="17" t="s">
        <v>5</v>
      </c>
      <c r="D45" s="17"/>
      <c r="E45" s="12" t="s">
        <v>19</v>
      </c>
      <c r="F45" s="13">
        <f>SUM(0.38*2.05)*2+(0.7*2.05)</f>
        <v>2.9929999999999994</v>
      </c>
      <c r="G45" s="17" t="s">
        <v>38</v>
      </c>
      <c r="H45" s="4" t="s">
        <v>62</v>
      </c>
      <c r="I45" s="4" t="s">
        <v>66</v>
      </c>
      <c r="J45" s="15">
        <v>2</v>
      </c>
      <c r="K45" s="24">
        <f t="shared" si="1"/>
        <v>11.971999999999998</v>
      </c>
    </row>
    <row r="46" spans="1:11" ht="15" customHeight="1" x14ac:dyDescent="0.2">
      <c r="A46" s="12" t="s">
        <v>60</v>
      </c>
      <c r="B46" s="3"/>
      <c r="C46" s="17" t="s">
        <v>5</v>
      </c>
      <c r="D46" s="17"/>
      <c r="E46" s="12" t="s">
        <v>20</v>
      </c>
      <c r="F46" s="13">
        <f>F42</f>
        <v>5.0058999999999996</v>
      </c>
      <c r="G46" s="17" t="s">
        <v>38</v>
      </c>
      <c r="H46" s="4" t="s">
        <v>62</v>
      </c>
      <c r="I46" s="15" t="s">
        <v>66</v>
      </c>
      <c r="J46" s="15">
        <v>2</v>
      </c>
      <c r="K46" s="24">
        <f t="shared" si="1"/>
        <v>20.023599999999998</v>
      </c>
    </row>
    <row r="47" spans="1:11" ht="15" customHeight="1" x14ac:dyDescent="0.2">
      <c r="A47" s="12" t="s">
        <v>60</v>
      </c>
      <c r="B47" s="3"/>
      <c r="C47" s="17" t="s">
        <v>5</v>
      </c>
      <c r="D47" s="17"/>
      <c r="E47" s="12" t="s">
        <v>22</v>
      </c>
      <c r="F47" s="13">
        <f>(0.4*0.95)*13</f>
        <v>4.9400000000000004</v>
      </c>
      <c r="G47" s="17" t="s">
        <v>38</v>
      </c>
      <c r="H47" s="4" t="s">
        <v>62</v>
      </c>
      <c r="I47" s="4" t="s">
        <v>66</v>
      </c>
      <c r="J47" s="15">
        <v>2</v>
      </c>
      <c r="K47" s="24">
        <f t="shared" si="1"/>
        <v>19.760000000000002</v>
      </c>
    </row>
    <row r="48" spans="1:11" ht="15" customHeight="1" x14ac:dyDescent="0.2">
      <c r="A48" s="12" t="s">
        <v>60</v>
      </c>
      <c r="B48" s="3"/>
      <c r="C48" s="17" t="s">
        <v>5</v>
      </c>
      <c r="D48" s="17"/>
      <c r="E48" s="12" t="s">
        <v>10</v>
      </c>
      <c r="F48" s="13">
        <f>(2.1*2.58)*5</f>
        <v>27.09</v>
      </c>
      <c r="G48" s="17" t="s">
        <v>38</v>
      </c>
      <c r="H48" s="4" t="s">
        <v>62</v>
      </c>
      <c r="I48" s="4" t="s">
        <v>66</v>
      </c>
      <c r="J48" s="15">
        <v>2</v>
      </c>
      <c r="K48" s="24">
        <f t="shared" si="1"/>
        <v>108.36</v>
      </c>
    </row>
    <row r="49" spans="1:11" ht="15" customHeight="1" x14ac:dyDescent="0.2">
      <c r="A49" s="12" t="s">
        <v>60</v>
      </c>
      <c r="B49" s="3"/>
      <c r="C49" s="17" t="s">
        <v>5</v>
      </c>
      <c r="D49" s="17"/>
      <c r="E49" s="12" t="s">
        <v>10</v>
      </c>
      <c r="F49" s="13">
        <f>((1.8*2.62)*2)+(1.92*2.59)*2</f>
        <v>19.377600000000001</v>
      </c>
      <c r="G49" s="17" t="s">
        <v>38</v>
      </c>
      <c r="H49" s="4" t="s">
        <v>62</v>
      </c>
      <c r="I49" s="15" t="s">
        <v>66</v>
      </c>
      <c r="J49" s="15">
        <v>2</v>
      </c>
      <c r="K49" s="24">
        <f t="shared" si="1"/>
        <v>77.510400000000004</v>
      </c>
    </row>
    <row r="50" spans="1:11" ht="15" customHeight="1" x14ac:dyDescent="0.2">
      <c r="A50" s="12" t="s">
        <v>60</v>
      </c>
      <c r="B50" s="3"/>
      <c r="C50" s="17" t="s">
        <v>5</v>
      </c>
      <c r="D50" s="17" t="s">
        <v>25</v>
      </c>
      <c r="E50" s="12" t="s">
        <v>58</v>
      </c>
      <c r="F50" s="13">
        <f>4.32*2.55</f>
        <v>11.016</v>
      </c>
      <c r="G50" s="17" t="s">
        <v>38</v>
      </c>
      <c r="H50" s="4"/>
      <c r="I50" s="4" t="s">
        <v>66</v>
      </c>
      <c r="J50" s="15">
        <v>2</v>
      </c>
      <c r="K50" s="24">
        <f t="shared" si="1"/>
        <v>44.064</v>
      </c>
    </row>
    <row r="51" spans="1:11" ht="15" customHeight="1" x14ac:dyDescent="0.2">
      <c r="A51" s="12" t="s">
        <v>60</v>
      </c>
      <c r="B51" s="3"/>
      <c r="C51" s="17" t="s">
        <v>5</v>
      </c>
      <c r="D51" s="17" t="s">
        <v>26</v>
      </c>
      <c r="E51" s="12" t="s">
        <v>58</v>
      </c>
      <c r="F51" s="13">
        <f>(1.82*2.55)+(4.33*2.55)</f>
        <v>15.682499999999999</v>
      </c>
      <c r="G51" s="17" t="s">
        <v>38</v>
      </c>
      <c r="H51" s="4"/>
      <c r="I51" s="4" t="s">
        <v>66</v>
      </c>
      <c r="J51" s="15">
        <v>2</v>
      </c>
      <c r="K51" s="24">
        <f t="shared" si="1"/>
        <v>62.73</v>
      </c>
    </row>
    <row r="52" spans="1:11" ht="15" customHeight="1" x14ac:dyDescent="0.2">
      <c r="A52" s="12" t="s">
        <v>60</v>
      </c>
      <c r="B52" s="3"/>
      <c r="C52" s="17" t="s">
        <v>5</v>
      </c>
      <c r="D52" s="17">
        <v>2.2000000000000002</v>
      </c>
      <c r="E52" s="12" t="s">
        <v>58</v>
      </c>
      <c r="F52" s="13">
        <f>(1.7*1.95)*4</f>
        <v>13.26</v>
      </c>
      <c r="G52" s="17" t="s">
        <v>38</v>
      </c>
      <c r="H52" s="4"/>
      <c r="I52" s="15" t="s">
        <v>66</v>
      </c>
      <c r="J52" s="15">
        <v>2</v>
      </c>
      <c r="K52" s="24">
        <f t="shared" si="1"/>
        <v>53.04</v>
      </c>
    </row>
    <row r="53" spans="1:11" ht="15" customHeight="1" x14ac:dyDescent="0.2">
      <c r="A53" s="12" t="s">
        <v>60</v>
      </c>
      <c r="B53" s="3"/>
      <c r="C53" s="17" t="s">
        <v>5</v>
      </c>
      <c r="D53" s="17">
        <v>2.19</v>
      </c>
      <c r="E53" s="12" t="s">
        <v>58</v>
      </c>
      <c r="F53" s="13">
        <f>(1.7*1.65)+(0.8*1.65)</f>
        <v>4.125</v>
      </c>
      <c r="G53" s="17" t="s">
        <v>38</v>
      </c>
      <c r="H53" s="4"/>
      <c r="I53" s="4" t="s">
        <v>66</v>
      </c>
      <c r="J53" s="15">
        <v>2</v>
      </c>
      <c r="K53" s="24">
        <f t="shared" si="1"/>
        <v>16.5</v>
      </c>
    </row>
    <row r="54" spans="1:11" ht="15" customHeight="1" x14ac:dyDescent="0.2">
      <c r="A54" s="12" t="s">
        <v>60</v>
      </c>
      <c r="B54" s="3"/>
      <c r="C54" s="17" t="s">
        <v>5</v>
      </c>
      <c r="D54" s="17" t="s">
        <v>27</v>
      </c>
      <c r="E54" s="12" t="s">
        <v>58</v>
      </c>
      <c r="F54" s="13">
        <f>((4.3*1.65)*2)+((1.7*1.65)*5)+(8*1.65)</f>
        <v>41.414999999999992</v>
      </c>
      <c r="G54" s="17" t="s">
        <v>38</v>
      </c>
      <c r="H54" s="4"/>
      <c r="I54" s="4" t="s">
        <v>66</v>
      </c>
      <c r="J54" s="15">
        <v>2</v>
      </c>
      <c r="K54" s="24">
        <f t="shared" si="1"/>
        <v>165.65999999999997</v>
      </c>
    </row>
    <row r="55" spans="1:11" ht="15" customHeight="1" x14ac:dyDescent="0.2">
      <c r="A55" s="12" t="s">
        <v>60</v>
      </c>
      <c r="B55" s="3"/>
      <c r="C55" s="17" t="s">
        <v>5</v>
      </c>
      <c r="D55" s="17" t="s">
        <v>27</v>
      </c>
      <c r="E55" s="12" t="s">
        <v>24</v>
      </c>
      <c r="F55" s="13">
        <f>(4.3*1.13)*2</f>
        <v>9.7179999999999982</v>
      </c>
      <c r="G55" s="17" t="s">
        <v>38</v>
      </c>
      <c r="H55" s="4"/>
      <c r="I55" s="15" t="s">
        <v>66</v>
      </c>
      <c r="J55" s="15">
        <v>2</v>
      </c>
      <c r="K55" s="24">
        <f t="shared" si="1"/>
        <v>38.871999999999993</v>
      </c>
    </row>
    <row r="56" spans="1:11" ht="15" customHeight="1" x14ac:dyDescent="0.2">
      <c r="A56" s="12" t="s">
        <v>60</v>
      </c>
      <c r="B56" s="3"/>
      <c r="C56" s="17" t="s">
        <v>5</v>
      </c>
      <c r="D56" s="17">
        <v>2.29</v>
      </c>
      <c r="E56" s="12" t="s">
        <v>1</v>
      </c>
      <c r="F56" s="13">
        <f>(1.49*1.49)</f>
        <v>2.2201</v>
      </c>
      <c r="G56" s="17" t="s">
        <v>38</v>
      </c>
      <c r="H56" s="4"/>
      <c r="I56" s="4" t="s">
        <v>66</v>
      </c>
      <c r="J56" s="15">
        <v>2</v>
      </c>
      <c r="K56" s="24">
        <f t="shared" si="1"/>
        <v>8.8803999999999998</v>
      </c>
    </row>
    <row r="57" spans="1:11" ht="15" customHeight="1" x14ac:dyDescent="0.2">
      <c r="A57" s="12" t="s">
        <v>60</v>
      </c>
      <c r="B57" s="3"/>
      <c r="C57" s="17" t="s">
        <v>5</v>
      </c>
      <c r="D57" s="17">
        <v>2.2999999999999998</v>
      </c>
      <c r="E57" s="12" t="s">
        <v>58</v>
      </c>
      <c r="F57" s="13">
        <f>(1.49*1.49)</f>
        <v>2.2201</v>
      </c>
      <c r="G57" s="17" t="s">
        <v>38</v>
      </c>
      <c r="H57" s="4"/>
      <c r="I57" s="4" t="s">
        <v>66</v>
      </c>
      <c r="J57" s="15">
        <v>2</v>
      </c>
      <c r="K57" s="24">
        <f t="shared" si="1"/>
        <v>8.8803999999999998</v>
      </c>
    </row>
    <row r="58" spans="1:11" ht="15" customHeight="1" x14ac:dyDescent="0.2">
      <c r="A58" s="12" t="s">
        <v>60</v>
      </c>
      <c r="B58" s="3"/>
      <c r="C58" s="17" t="s">
        <v>5</v>
      </c>
      <c r="D58" s="17">
        <v>2.1800000000000002</v>
      </c>
      <c r="E58" s="12" t="s">
        <v>58</v>
      </c>
      <c r="F58" s="13">
        <f>(1.7*1.65)*3</f>
        <v>8.4149999999999991</v>
      </c>
      <c r="G58" s="17" t="s">
        <v>38</v>
      </c>
      <c r="H58" s="4"/>
      <c r="I58" s="15" t="s">
        <v>66</v>
      </c>
      <c r="J58" s="15">
        <v>2</v>
      </c>
      <c r="K58" s="24">
        <f t="shared" si="1"/>
        <v>33.659999999999997</v>
      </c>
    </row>
    <row r="59" spans="1:11" ht="15" customHeight="1" x14ac:dyDescent="0.2">
      <c r="A59" s="12" t="s">
        <v>60</v>
      </c>
      <c r="B59" s="3"/>
      <c r="C59" s="17" t="s">
        <v>5</v>
      </c>
      <c r="D59" s="17">
        <v>2.17</v>
      </c>
      <c r="E59" s="12" t="s">
        <v>58</v>
      </c>
      <c r="F59" s="13">
        <f>(1.7*1.65)*4+((4.3*1.65)*2)</f>
        <v>25.409999999999997</v>
      </c>
      <c r="G59" s="17" t="s">
        <v>38</v>
      </c>
      <c r="H59" s="4"/>
      <c r="I59" s="4" t="s">
        <v>66</v>
      </c>
      <c r="J59" s="15">
        <v>2</v>
      </c>
      <c r="K59" s="24">
        <f t="shared" si="1"/>
        <v>101.63999999999999</v>
      </c>
    </row>
    <row r="60" spans="1:11" ht="15" customHeight="1" x14ac:dyDescent="0.2">
      <c r="A60" s="12" t="s">
        <v>60</v>
      </c>
      <c r="B60" s="3"/>
      <c r="C60" s="17" t="s">
        <v>5</v>
      </c>
      <c r="D60" s="17">
        <v>2.17</v>
      </c>
      <c r="E60" s="12" t="s">
        <v>24</v>
      </c>
      <c r="F60" s="13">
        <f>(4.3*1.13)*2</f>
        <v>9.7179999999999982</v>
      </c>
      <c r="G60" s="17" t="s">
        <v>38</v>
      </c>
      <c r="H60" s="4"/>
      <c r="I60" s="4" t="s">
        <v>66</v>
      </c>
      <c r="J60" s="15">
        <v>2</v>
      </c>
      <c r="K60" s="24">
        <f t="shared" si="1"/>
        <v>38.871999999999993</v>
      </c>
    </row>
    <row r="61" spans="1:11" ht="15" customHeight="1" x14ac:dyDescent="0.2">
      <c r="A61" s="12" t="s">
        <v>60</v>
      </c>
      <c r="B61" s="3"/>
      <c r="C61" s="17" t="s">
        <v>5</v>
      </c>
      <c r="D61" s="17">
        <v>2.16</v>
      </c>
      <c r="E61" s="12" t="s">
        <v>58</v>
      </c>
      <c r="F61" s="13">
        <f>3.25*1.7+(1.62*1.7)</f>
        <v>8.2789999999999999</v>
      </c>
      <c r="G61" s="17" t="s">
        <v>38</v>
      </c>
      <c r="H61" s="4"/>
      <c r="I61" s="15" t="s">
        <v>66</v>
      </c>
      <c r="J61" s="15">
        <v>2</v>
      </c>
      <c r="K61" s="24">
        <f t="shared" si="1"/>
        <v>33.116</v>
      </c>
    </row>
    <row r="62" spans="1:11" ht="15" customHeight="1" x14ac:dyDescent="0.2">
      <c r="A62" s="12" t="s">
        <v>60</v>
      </c>
      <c r="B62" s="3"/>
      <c r="C62" s="17" t="s">
        <v>5</v>
      </c>
      <c r="D62" s="17">
        <v>2.15</v>
      </c>
      <c r="E62" s="12" t="s">
        <v>58</v>
      </c>
      <c r="F62" s="13">
        <f>(1.7*1.7)*3</f>
        <v>8.6699999999999982</v>
      </c>
      <c r="G62" s="17" t="s">
        <v>38</v>
      </c>
      <c r="H62" s="4"/>
      <c r="I62" s="4" t="s">
        <v>66</v>
      </c>
      <c r="J62" s="15">
        <v>2</v>
      </c>
      <c r="K62" s="24">
        <f t="shared" si="1"/>
        <v>34.679999999999993</v>
      </c>
    </row>
    <row r="63" spans="1:11" ht="15" customHeight="1" x14ac:dyDescent="0.2">
      <c r="A63" s="12" t="s">
        <v>60</v>
      </c>
      <c r="B63" s="3"/>
      <c r="C63" s="17" t="s">
        <v>5</v>
      </c>
      <c r="D63" s="17">
        <v>2.14</v>
      </c>
      <c r="E63" s="12" t="s">
        <v>58</v>
      </c>
      <c r="F63" s="13">
        <f>(1.7*1.7)*3</f>
        <v>8.6699999999999982</v>
      </c>
      <c r="G63" s="17" t="s">
        <v>38</v>
      </c>
      <c r="H63" s="4"/>
      <c r="I63" s="4" t="s">
        <v>66</v>
      </c>
      <c r="J63" s="15">
        <v>2</v>
      </c>
      <c r="K63" s="24">
        <f t="shared" si="1"/>
        <v>34.679999999999993</v>
      </c>
    </row>
    <row r="64" spans="1:11" ht="15" customHeight="1" x14ac:dyDescent="0.2">
      <c r="A64" s="12" t="s">
        <v>60</v>
      </c>
      <c r="B64" s="3"/>
      <c r="C64" s="17" t="s">
        <v>5</v>
      </c>
      <c r="D64" s="17">
        <v>2.02</v>
      </c>
      <c r="E64" s="12" t="s">
        <v>58</v>
      </c>
      <c r="F64" s="13">
        <f>(1.76*2.56)*2+(4.28*2.56)+(0.85*2.56)</f>
        <v>22.144000000000005</v>
      </c>
      <c r="G64" s="17" t="s">
        <v>38</v>
      </c>
      <c r="H64" s="4"/>
      <c r="I64" s="15" t="s">
        <v>66</v>
      </c>
      <c r="J64" s="15">
        <v>2</v>
      </c>
      <c r="K64" s="24">
        <f t="shared" si="1"/>
        <v>88.576000000000022</v>
      </c>
    </row>
    <row r="65" spans="1:11" ht="15" customHeight="1" x14ac:dyDescent="0.2">
      <c r="A65" s="12" t="s">
        <v>60</v>
      </c>
      <c r="B65" s="3"/>
      <c r="C65" s="17" t="s">
        <v>5</v>
      </c>
      <c r="D65" s="17">
        <v>2.13</v>
      </c>
      <c r="E65" s="12" t="s">
        <v>58</v>
      </c>
      <c r="F65" s="13">
        <f>(1.7*1.7)*6</f>
        <v>17.339999999999996</v>
      </c>
      <c r="G65" s="17" t="s">
        <v>38</v>
      </c>
      <c r="H65" s="4"/>
      <c r="I65" s="4" t="s">
        <v>66</v>
      </c>
      <c r="J65" s="15">
        <v>2</v>
      </c>
      <c r="K65" s="24">
        <f t="shared" si="1"/>
        <v>69.359999999999985</v>
      </c>
    </row>
    <row r="66" spans="1:11" ht="15" customHeight="1" x14ac:dyDescent="0.2">
      <c r="A66" s="12" t="s">
        <v>60</v>
      </c>
      <c r="B66" s="3"/>
      <c r="C66" s="17" t="s">
        <v>5</v>
      </c>
      <c r="D66" s="17">
        <v>2.04</v>
      </c>
      <c r="E66" s="12" t="s">
        <v>58</v>
      </c>
      <c r="F66" s="13">
        <f>(3.25*2.56)+(1.7*1.7)</f>
        <v>11.21</v>
      </c>
      <c r="G66" s="17" t="s">
        <v>38</v>
      </c>
      <c r="H66" s="4"/>
      <c r="I66" s="4" t="s">
        <v>66</v>
      </c>
      <c r="J66" s="15">
        <v>2</v>
      </c>
      <c r="K66" s="24">
        <f t="shared" si="1"/>
        <v>44.84</v>
      </c>
    </row>
    <row r="67" spans="1:11" ht="15" customHeight="1" x14ac:dyDescent="0.2">
      <c r="A67" s="12" t="s">
        <v>60</v>
      </c>
      <c r="B67" s="3"/>
      <c r="C67" s="17" t="s">
        <v>5</v>
      </c>
      <c r="D67" s="17">
        <v>2.12</v>
      </c>
      <c r="E67" s="12" t="s">
        <v>58</v>
      </c>
      <c r="F67" s="13">
        <f>(1.7*1.7)*5+((1.7*4.2)*2)</f>
        <v>28.729999999999997</v>
      </c>
      <c r="G67" s="17" t="s">
        <v>38</v>
      </c>
      <c r="H67" s="4"/>
      <c r="I67" s="15" t="s">
        <v>66</v>
      </c>
      <c r="J67" s="15">
        <v>2</v>
      </c>
      <c r="K67" s="24">
        <f t="shared" si="1"/>
        <v>114.91999999999999</v>
      </c>
    </row>
    <row r="68" spans="1:11" ht="15" customHeight="1" x14ac:dyDescent="0.2">
      <c r="A68" s="12" t="s">
        <v>60</v>
      </c>
      <c r="B68" s="3"/>
      <c r="C68" s="17" t="s">
        <v>5</v>
      </c>
      <c r="D68" s="17">
        <v>2.12</v>
      </c>
      <c r="E68" s="12" t="s">
        <v>24</v>
      </c>
      <c r="F68" s="13">
        <f>(4.2*1.13)*2</f>
        <v>9.4919999999999991</v>
      </c>
      <c r="G68" s="17" t="s">
        <v>38</v>
      </c>
      <c r="H68" s="4"/>
      <c r="I68" s="4" t="s">
        <v>66</v>
      </c>
      <c r="J68" s="15">
        <v>2</v>
      </c>
      <c r="K68" s="24">
        <f t="shared" si="1"/>
        <v>37.967999999999996</v>
      </c>
    </row>
    <row r="69" spans="1:11" ht="15" customHeight="1" x14ac:dyDescent="0.2">
      <c r="A69" s="12" t="s">
        <v>60</v>
      </c>
      <c r="B69" s="3"/>
      <c r="C69" s="17" t="s">
        <v>28</v>
      </c>
      <c r="D69" s="17"/>
      <c r="E69" s="12" t="s">
        <v>19</v>
      </c>
      <c r="F69" s="13">
        <f>SUM(0.38*2.05)*2+(0.7*2.05)</f>
        <v>2.9929999999999994</v>
      </c>
      <c r="G69" s="17" t="s">
        <v>38</v>
      </c>
      <c r="H69" s="4" t="s">
        <v>62</v>
      </c>
      <c r="I69" s="4" t="s">
        <v>66</v>
      </c>
      <c r="J69" s="15">
        <v>2</v>
      </c>
      <c r="K69" s="24">
        <f t="shared" si="1"/>
        <v>11.971999999999998</v>
      </c>
    </row>
    <row r="70" spans="1:11" ht="15" customHeight="1" x14ac:dyDescent="0.2">
      <c r="A70" s="12" t="s">
        <v>60</v>
      </c>
      <c r="B70" s="3"/>
      <c r="C70" s="17" t="s">
        <v>28</v>
      </c>
      <c r="D70" s="17"/>
      <c r="E70" s="12" t="s">
        <v>20</v>
      </c>
      <c r="F70" s="13">
        <f>F66</f>
        <v>11.21</v>
      </c>
      <c r="G70" s="17" t="s">
        <v>38</v>
      </c>
      <c r="H70" s="4" t="s">
        <v>62</v>
      </c>
      <c r="I70" s="15" t="s">
        <v>66</v>
      </c>
      <c r="J70" s="15">
        <v>2</v>
      </c>
      <c r="K70" s="24">
        <f t="shared" si="1"/>
        <v>44.84</v>
      </c>
    </row>
    <row r="71" spans="1:11" ht="15" customHeight="1" x14ac:dyDescent="0.2">
      <c r="A71" s="12" t="s">
        <v>60</v>
      </c>
      <c r="B71" s="3"/>
      <c r="C71" s="17" t="s">
        <v>28</v>
      </c>
      <c r="D71" s="17"/>
      <c r="E71" s="12" t="s">
        <v>22</v>
      </c>
      <c r="F71" s="13">
        <f>(0.4*0.95)*13</f>
        <v>4.9400000000000004</v>
      </c>
      <c r="G71" s="17" t="s">
        <v>38</v>
      </c>
      <c r="H71" s="4" t="s">
        <v>62</v>
      </c>
      <c r="I71" s="4" t="s">
        <v>66</v>
      </c>
      <c r="J71" s="15">
        <v>2</v>
      </c>
      <c r="K71" s="24">
        <f t="shared" si="1"/>
        <v>19.760000000000002</v>
      </c>
    </row>
    <row r="72" spans="1:11" ht="15" customHeight="1" x14ac:dyDescent="0.2">
      <c r="A72" s="12" t="s">
        <v>60</v>
      </c>
      <c r="B72" s="3"/>
      <c r="C72" s="17" t="s">
        <v>28</v>
      </c>
      <c r="D72" s="17"/>
      <c r="E72" s="12" t="s">
        <v>10</v>
      </c>
      <c r="F72" s="13">
        <f>(2.1*2.42)*4</f>
        <v>20.327999999999999</v>
      </c>
      <c r="G72" s="17" t="s">
        <v>38</v>
      </c>
      <c r="H72" s="4" t="s">
        <v>62</v>
      </c>
      <c r="I72" s="4" t="s">
        <v>66</v>
      </c>
      <c r="J72" s="15">
        <v>2</v>
      </c>
      <c r="K72" s="24">
        <f t="shared" si="1"/>
        <v>81.311999999999998</v>
      </c>
    </row>
    <row r="73" spans="1:11" ht="15" customHeight="1" x14ac:dyDescent="0.2">
      <c r="A73" s="12" t="s">
        <v>60</v>
      </c>
      <c r="B73" s="3"/>
      <c r="C73" s="17" t="s">
        <v>28</v>
      </c>
      <c r="D73" s="17"/>
      <c r="E73" s="12" t="s">
        <v>10</v>
      </c>
      <c r="F73" s="13">
        <f>((1.95*2.62)*2)+(1.8*2.59)</f>
        <v>14.879999999999999</v>
      </c>
      <c r="G73" s="17" t="s">
        <v>38</v>
      </c>
      <c r="H73" s="4" t="s">
        <v>62</v>
      </c>
      <c r="I73" s="15" t="s">
        <v>66</v>
      </c>
      <c r="J73" s="15">
        <v>2</v>
      </c>
      <c r="K73" s="24">
        <f t="shared" si="1"/>
        <v>59.519999999999996</v>
      </c>
    </row>
    <row r="74" spans="1:11" ht="15" customHeight="1" x14ac:dyDescent="0.2">
      <c r="A74" s="12" t="s">
        <v>60</v>
      </c>
      <c r="B74" s="3"/>
      <c r="C74" s="17" t="s">
        <v>28</v>
      </c>
      <c r="D74" s="17"/>
      <c r="E74" s="12" t="s">
        <v>10</v>
      </c>
      <c r="F74" s="13">
        <f>1.8*2.03*2</f>
        <v>7.3079999999999998</v>
      </c>
      <c r="G74" s="17" t="s">
        <v>38</v>
      </c>
      <c r="H74" s="4" t="s">
        <v>62</v>
      </c>
      <c r="I74" s="4" t="s">
        <v>66</v>
      </c>
      <c r="J74" s="15">
        <v>2</v>
      </c>
      <c r="K74" s="24">
        <f t="shared" si="1"/>
        <v>29.231999999999999</v>
      </c>
    </row>
    <row r="75" spans="1:11" ht="15" customHeight="1" x14ac:dyDescent="0.2">
      <c r="A75" s="12" t="s">
        <v>60</v>
      </c>
      <c r="B75" s="3"/>
      <c r="C75" s="17" t="s">
        <v>28</v>
      </c>
      <c r="D75" s="17" t="s">
        <v>29</v>
      </c>
      <c r="E75" s="12" t="s">
        <v>58</v>
      </c>
      <c r="F75" s="13">
        <f>(1.7*1.7)*3</f>
        <v>8.6699999999999982</v>
      </c>
      <c r="G75" s="17" t="s">
        <v>38</v>
      </c>
      <c r="H75" s="4"/>
      <c r="I75" s="4" t="s">
        <v>66</v>
      </c>
      <c r="J75" s="15">
        <v>2</v>
      </c>
      <c r="K75" s="24">
        <f t="shared" si="1"/>
        <v>34.679999999999993</v>
      </c>
    </row>
    <row r="76" spans="1:11" ht="15" customHeight="1" x14ac:dyDescent="0.2">
      <c r="A76" s="12" t="s">
        <v>60</v>
      </c>
      <c r="B76" s="3"/>
      <c r="C76" s="17" t="s">
        <v>28</v>
      </c>
      <c r="D76" s="17" t="s">
        <v>30</v>
      </c>
      <c r="E76" s="12" t="s">
        <v>58</v>
      </c>
      <c r="F76" s="13">
        <f>(1.7*1.7)*2</f>
        <v>5.7799999999999994</v>
      </c>
      <c r="G76" s="17" t="s">
        <v>38</v>
      </c>
      <c r="H76" s="4"/>
      <c r="I76" s="15" t="s">
        <v>66</v>
      </c>
      <c r="J76" s="15">
        <v>2</v>
      </c>
      <c r="K76" s="24">
        <f t="shared" si="1"/>
        <v>23.119999999999997</v>
      </c>
    </row>
    <row r="77" spans="1:11" ht="15" customHeight="1" x14ac:dyDescent="0.2">
      <c r="A77" s="12" t="s">
        <v>60</v>
      </c>
      <c r="B77" s="3"/>
      <c r="C77" s="17" t="s">
        <v>28</v>
      </c>
      <c r="D77" s="17" t="s">
        <v>31</v>
      </c>
      <c r="E77" s="12" t="s">
        <v>58</v>
      </c>
      <c r="F77" s="13">
        <f>(1.7*1.7)*3</f>
        <v>8.6699999999999982</v>
      </c>
      <c r="G77" s="17" t="s">
        <v>38</v>
      </c>
      <c r="H77" s="4"/>
      <c r="I77" s="4" t="s">
        <v>66</v>
      </c>
      <c r="J77" s="15">
        <v>2</v>
      </c>
      <c r="K77" s="24">
        <f t="shared" si="1"/>
        <v>34.679999999999993</v>
      </c>
    </row>
    <row r="78" spans="1:11" ht="15" customHeight="1" x14ac:dyDescent="0.2">
      <c r="A78" s="12" t="s">
        <v>60</v>
      </c>
      <c r="B78" s="3"/>
      <c r="C78" s="17" t="s">
        <v>28</v>
      </c>
      <c r="D78" s="17" t="s">
        <v>32</v>
      </c>
      <c r="E78" s="12" t="s">
        <v>58</v>
      </c>
      <c r="F78" s="13">
        <f>(1.7*1.7)*2</f>
        <v>5.7799999999999994</v>
      </c>
      <c r="G78" s="17" t="s">
        <v>38</v>
      </c>
      <c r="H78" s="4"/>
      <c r="I78" s="4" t="s">
        <v>66</v>
      </c>
      <c r="J78" s="15">
        <v>2</v>
      </c>
      <c r="K78" s="24">
        <f t="shared" si="1"/>
        <v>23.119999999999997</v>
      </c>
    </row>
    <row r="79" spans="1:11" ht="15" customHeight="1" x14ac:dyDescent="0.2">
      <c r="A79" s="12" t="s">
        <v>60</v>
      </c>
      <c r="B79" s="3"/>
      <c r="C79" s="17" t="s">
        <v>28</v>
      </c>
      <c r="D79" s="17" t="s">
        <v>33</v>
      </c>
      <c r="E79" s="12" t="s">
        <v>58</v>
      </c>
      <c r="F79" s="13">
        <f>(1.7*1.7)*3</f>
        <v>8.6699999999999982</v>
      </c>
      <c r="G79" s="17" t="s">
        <v>38</v>
      </c>
      <c r="H79" s="4"/>
      <c r="I79" s="15" t="s">
        <v>66</v>
      </c>
      <c r="J79" s="15">
        <v>2</v>
      </c>
      <c r="K79" s="24">
        <f t="shared" si="1"/>
        <v>34.679999999999993</v>
      </c>
    </row>
    <row r="80" spans="1:11" ht="15" customHeight="1" x14ac:dyDescent="0.2">
      <c r="A80" s="12" t="s">
        <v>60</v>
      </c>
      <c r="B80" s="3"/>
      <c r="C80" s="17" t="s">
        <v>28</v>
      </c>
      <c r="D80" s="17" t="s">
        <v>34</v>
      </c>
      <c r="E80" s="12" t="s">
        <v>58</v>
      </c>
      <c r="F80" s="13">
        <f>((1.7*1.7)*3)+(1.7*1.7)+(4.28*1.7)</f>
        <v>18.835999999999999</v>
      </c>
      <c r="G80" s="17" t="s">
        <v>38</v>
      </c>
      <c r="H80" s="4"/>
      <c r="I80" s="4" t="s">
        <v>66</v>
      </c>
      <c r="J80" s="15">
        <v>2</v>
      </c>
      <c r="K80" s="24">
        <f t="shared" si="1"/>
        <v>75.343999999999994</v>
      </c>
    </row>
    <row r="81" spans="1:11" ht="15" customHeight="1" x14ac:dyDescent="0.2">
      <c r="A81" s="12" t="s">
        <v>60</v>
      </c>
      <c r="B81" s="3"/>
      <c r="C81" s="17" t="s">
        <v>28</v>
      </c>
      <c r="D81" s="17" t="s">
        <v>35</v>
      </c>
      <c r="E81" s="12" t="s">
        <v>58</v>
      </c>
      <c r="F81" s="13">
        <v>58.48</v>
      </c>
      <c r="G81" s="17" t="s">
        <v>38</v>
      </c>
      <c r="H81" s="4"/>
      <c r="I81" s="4" t="s">
        <v>66</v>
      </c>
      <c r="J81" s="15">
        <v>2</v>
      </c>
      <c r="K81" s="24">
        <f t="shared" si="1"/>
        <v>233.92</v>
      </c>
    </row>
    <row r="82" spans="1:11" ht="15" customHeight="1" x14ac:dyDescent="0.2">
      <c r="A82" s="12" t="s">
        <v>60</v>
      </c>
      <c r="B82" s="3"/>
      <c r="C82" s="17" t="s">
        <v>28</v>
      </c>
      <c r="D82" s="17" t="s">
        <v>35</v>
      </c>
      <c r="E82" s="12" t="s">
        <v>24</v>
      </c>
      <c r="F82" s="13">
        <f>(4.28*1.13)+(4.28*1.13)</f>
        <v>9.6728000000000005</v>
      </c>
      <c r="G82" s="17" t="s">
        <v>38</v>
      </c>
      <c r="H82" s="4"/>
      <c r="I82" s="15" t="s">
        <v>66</v>
      </c>
      <c r="J82" s="15">
        <v>2</v>
      </c>
      <c r="K82" s="24">
        <f t="shared" si="1"/>
        <v>38.691200000000002</v>
      </c>
    </row>
    <row r="83" spans="1:11" ht="15" customHeight="1" x14ac:dyDescent="0.2">
      <c r="A83" s="12" t="s">
        <v>60</v>
      </c>
      <c r="B83" s="3"/>
      <c r="C83" s="17" t="s">
        <v>28</v>
      </c>
      <c r="D83" s="17">
        <v>3.16</v>
      </c>
      <c r="E83" s="12" t="s">
        <v>58</v>
      </c>
      <c r="F83" s="13">
        <f>(0.83*1.7)+(1.7*1.7)</f>
        <v>4.3009999999999993</v>
      </c>
      <c r="G83" s="17" t="s">
        <v>38</v>
      </c>
      <c r="H83" s="4"/>
      <c r="I83" s="4" t="s">
        <v>66</v>
      </c>
      <c r="J83" s="15">
        <v>2</v>
      </c>
      <c r="K83" s="24">
        <f t="shared" ref="K83:K145" si="2">J83*F83*2</f>
        <v>17.203999999999997</v>
      </c>
    </row>
    <row r="84" spans="1:11" ht="15" customHeight="1" x14ac:dyDescent="0.2">
      <c r="A84" s="12" t="s">
        <v>60</v>
      </c>
      <c r="B84" s="3"/>
      <c r="C84" s="17" t="s">
        <v>28</v>
      </c>
      <c r="D84" s="17">
        <v>3.27</v>
      </c>
      <c r="E84" s="12" t="s">
        <v>1</v>
      </c>
      <c r="F84" s="13">
        <f>(1.49*1.49)</f>
        <v>2.2201</v>
      </c>
      <c r="G84" s="17" t="s">
        <v>38</v>
      </c>
      <c r="H84" s="4"/>
      <c r="I84" s="4" t="s">
        <v>66</v>
      </c>
      <c r="J84" s="15">
        <v>2</v>
      </c>
      <c r="K84" s="24">
        <f t="shared" si="2"/>
        <v>8.8803999999999998</v>
      </c>
    </row>
    <row r="85" spans="1:11" ht="15" customHeight="1" x14ac:dyDescent="0.2">
      <c r="A85" s="12" t="s">
        <v>60</v>
      </c>
      <c r="B85" s="3"/>
      <c r="C85" s="17" t="s">
        <v>28</v>
      </c>
      <c r="D85" s="17">
        <v>3.28</v>
      </c>
      <c r="E85" s="12" t="s">
        <v>58</v>
      </c>
      <c r="F85" s="13">
        <f>(1.49*1.49)</f>
        <v>2.2201</v>
      </c>
      <c r="G85" s="17" t="s">
        <v>38</v>
      </c>
      <c r="H85" s="4"/>
      <c r="I85" s="15" t="s">
        <v>66</v>
      </c>
      <c r="J85" s="15">
        <v>2</v>
      </c>
      <c r="K85" s="24">
        <f t="shared" si="2"/>
        <v>8.8803999999999998</v>
      </c>
    </row>
    <row r="86" spans="1:11" ht="15" customHeight="1" x14ac:dyDescent="0.2">
      <c r="A86" s="12" t="s">
        <v>60</v>
      </c>
      <c r="B86" s="3"/>
      <c r="C86" s="17" t="s">
        <v>28</v>
      </c>
      <c r="D86" s="17">
        <v>3.15</v>
      </c>
      <c r="E86" s="12" t="s">
        <v>58</v>
      </c>
      <c r="F86" s="13">
        <f>(1.7*1.7)*5+(0.83*1.7)</f>
        <v>15.860999999999999</v>
      </c>
      <c r="G86" s="17" t="s">
        <v>38</v>
      </c>
      <c r="H86" s="14"/>
      <c r="I86" s="4" t="s">
        <v>66</v>
      </c>
      <c r="J86" s="15">
        <v>2</v>
      </c>
      <c r="K86" s="24">
        <f t="shared" si="2"/>
        <v>63.443999999999996</v>
      </c>
    </row>
    <row r="87" spans="1:11" ht="15" customHeight="1" x14ac:dyDescent="0.2">
      <c r="A87" s="12" t="s">
        <v>60</v>
      </c>
      <c r="B87" s="3"/>
      <c r="C87" s="17" t="s">
        <v>28</v>
      </c>
      <c r="D87" s="17">
        <v>3.13</v>
      </c>
      <c r="E87" s="12" t="s">
        <v>58</v>
      </c>
      <c r="F87" s="13">
        <f>((1.7*2)*2)+(4.21*2)+(4.28*2)+(3.2*2+(1.6*2))</f>
        <v>33.380000000000003</v>
      </c>
      <c r="G87" s="17" t="s">
        <v>38</v>
      </c>
      <c r="H87" s="4"/>
      <c r="I87" s="4" t="s">
        <v>66</v>
      </c>
      <c r="J87" s="15">
        <v>2</v>
      </c>
      <c r="K87" s="24">
        <f t="shared" si="2"/>
        <v>133.52000000000001</v>
      </c>
    </row>
    <row r="88" spans="1:11" ht="15" customHeight="1" x14ac:dyDescent="0.2">
      <c r="A88" s="12" t="s">
        <v>60</v>
      </c>
      <c r="B88" s="3"/>
      <c r="C88" s="17" t="s">
        <v>28</v>
      </c>
      <c r="D88" s="17">
        <v>3.13</v>
      </c>
      <c r="E88" s="12" t="s">
        <v>24</v>
      </c>
      <c r="F88" s="13">
        <f>(4.21*1.13)+(4.28*1.13)</f>
        <v>9.5937000000000001</v>
      </c>
      <c r="G88" s="17" t="s">
        <v>38</v>
      </c>
      <c r="H88" s="4"/>
      <c r="I88" s="15" t="s">
        <v>66</v>
      </c>
      <c r="J88" s="15">
        <v>2</v>
      </c>
      <c r="K88" s="24">
        <f t="shared" si="2"/>
        <v>38.3748</v>
      </c>
    </row>
    <row r="89" spans="1:11" ht="15" customHeight="1" x14ac:dyDescent="0.2">
      <c r="A89" s="12" t="s">
        <v>60</v>
      </c>
      <c r="B89" s="3"/>
      <c r="C89" s="17" t="s">
        <v>28</v>
      </c>
      <c r="D89" s="17">
        <v>3.12</v>
      </c>
      <c r="E89" s="12" t="s">
        <v>58</v>
      </c>
      <c r="F89" s="13">
        <f>(1.7*1.7)*4</f>
        <v>11.559999999999999</v>
      </c>
      <c r="G89" s="17" t="s">
        <v>38</v>
      </c>
      <c r="H89" s="4"/>
      <c r="I89" s="4" t="s">
        <v>66</v>
      </c>
      <c r="J89" s="15">
        <v>2</v>
      </c>
      <c r="K89" s="24">
        <f t="shared" si="2"/>
        <v>46.239999999999995</v>
      </c>
    </row>
    <row r="90" spans="1:11" ht="15" customHeight="1" x14ac:dyDescent="0.2">
      <c r="A90" s="12" t="s">
        <v>60</v>
      </c>
      <c r="B90" s="3"/>
      <c r="C90" s="17" t="s">
        <v>28</v>
      </c>
      <c r="D90" s="17" t="s">
        <v>36</v>
      </c>
      <c r="E90" s="12" t="s">
        <v>58</v>
      </c>
      <c r="F90" s="13">
        <f>(1.7*1.7)*4</f>
        <v>11.559999999999999</v>
      </c>
      <c r="G90" s="17" t="s">
        <v>38</v>
      </c>
      <c r="H90" s="4"/>
      <c r="I90" s="4" t="s">
        <v>66</v>
      </c>
      <c r="J90" s="15">
        <v>2</v>
      </c>
      <c r="K90" s="24">
        <f t="shared" si="2"/>
        <v>46.239999999999995</v>
      </c>
    </row>
    <row r="91" spans="1:11" ht="15" customHeight="1" x14ac:dyDescent="0.2">
      <c r="A91" s="12" t="s">
        <v>60</v>
      </c>
      <c r="B91" s="3"/>
      <c r="C91" s="17" t="s">
        <v>28</v>
      </c>
      <c r="D91" s="17">
        <v>3.01</v>
      </c>
      <c r="E91" s="12" t="s">
        <v>58</v>
      </c>
      <c r="F91" s="13">
        <f>(1.7*1.7)*6</f>
        <v>17.339999999999996</v>
      </c>
      <c r="G91" s="17" t="s">
        <v>38</v>
      </c>
      <c r="H91" s="4"/>
      <c r="I91" s="15" t="s">
        <v>66</v>
      </c>
      <c r="J91" s="15">
        <v>2</v>
      </c>
      <c r="K91" s="24">
        <f t="shared" si="2"/>
        <v>69.359999999999985</v>
      </c>
    </row>
    <row r="92" spans="1:11" ht="15" customHeight="1" x14ac:dyDescent="0.2">
      <c r="A92" s="12" t="s">
        <v>60</v>
      </c>
      <c r="B92" s="3"/>
      <c r="C92" s="17" t="s">
        <v>28</v>
      </c>
      <c r="D92" s="17">
        <v>3.03</v>
      </c>
      <c r="E92" s="12" t="s">
        <v>58</v>
      </c>
      <c r="F92" s="13">
        <f>(1.7*1.7)</f>
        <v>2.8899999999999997</v>
      </c>
      <c r="G92" s="17" t="s">
        <v>38</v>
      </c>
      <c r="H92" s="4"/>
      <c r="I92" s="4" t="s">
        <v>66</v>
      </c>
      <c r="J92" s="15">
        <v>2</v>
      </c>
      <c r="K92" s="24">
        <f t="shared" si="2"/>
        <v>11.559999999999999</v>
      </c>
    </row>
    <row r="93" spans="1:11" ht="15" customHeight="1" x14ac:dyDescent="0.2">
      <c r="A93" s="12" t="s">
        <v>60</v>
      </c>
      <c r="B93" s="3"/>
      <c r="C93" s="17" t="s">
        <v>28</v>
      </c>
      <c r="D93" s="17">
        <v>3.11</v>
      </c>
      <c r="E93" s="12" t="s">
        <v>58</v>
      </c>
      <c r="F93" s="13">
        <f>(1.7*1.7)*4</f>
        <v>11.559999999999999</v>
      </c>
      <c r="G93" s="17" t="s">
        <v>38</v>
      </c>
      <c r="H93" s="4"/>
      <c r="I93" s="4" t="s">
        <v>66</v>
      </c>
      <c r="J93" s="15">
        <v>2</v>
      </c>
      <c r="K93" s="24">
        <f t="shared" si="2"/>
        <v>46.239999999999995</v>
      </c>
    </row>
    <row r="94" spans="1:11" ht="15" customHeight="1" x14ac:dyDescent="0.2">
      <c r="A94" s="12" t="s">
        <v>60</v>
      </c>
      <c r="B94" s="3"/>
      <c r="C94" s="17" t="s">
        <v>28</v>
      </c>
      <c r="D94" s="17">
        <v>3.1</v>
      </c>
      <c r="E94" s="12" t="s">
        <v>58</v>
      </c>
      <c r="F94" s="13">
        <f>((1.7*1.7)*5)+(4.28*1.7)+(4.21*1.7)</f>
        <v>28.882999999999999</v>
      </c>
      <c r="G94" s="17" t="s">
        <v>38</v>
      </c>
      <c r="H94" s="4"/>
      <c r="I94" s="15" t="s">
        <v>66</v>
      </c>
      <c r="J94" s="15">
        <v>2</v>
      </c>
      <c r="K94" s="24">
        <f t="shared" si="2"/>
        <v>115.532</v>
      </c>
    </row>
    <row r="95" spans="1:11" ht="15" customHeight="1" x14ac:dyDescent="0.2">
      <c r="A95" s="12" t="s">
        <v>60</v>
      </c>
      <c r="B95" s="3"/>
      <c r="C95" s="17" t="s">
        <v>28</v>
      </c>
      <c r="D95" s="17">
        <v>3.1</v>
      </c>
      <c r="E95" s="12" t="s">
        <v>24</v>
      </c>
      <c r="F95" s="13">
        <f>(4.28*1.13)+(4.21*1.13)</f>
        <v>9.5937000000000001</v>
      </c>
      <c r="G95" s="17" t="s">
        <v>38</v>
      </c>
      <c r="H95" s="4"/>
      <c r="I95" s="4" t="s">
        <v>66</v>
      </c>
      <c r="J95" s="15">
        <v>2</v>
      </c>
      <c r="K95" s="24">
        <f t="shared" si="2"/>
        <v>38.3748</v>
      </c>
    </row>
    <row r="96" spans="1:11" ht="15" customHeight="1" x14ac:dyDescent="0.2">
      <c r="A96" s="12" t="s">
        <v>60</v>
      </c>
      <c r="B96" s="3"/>
      <c r="C96" s="17" t="s">
        <v>37</v>
      </c>
      <c r="D96" s="17"/>
      <c r="E96" s="12" t="s">
        <v>19</v>
      </c>
      <c r="F96" s="13">
        <f>SUM(0.38*2.05)*2+(0.7*2.05)</f>
        <v>2.9929999999999994</v>
      </c>
      <c r="G96" s="17" t="s">
        <v>38</v>
      </c>
      <c r="H96" s="4" t="s">
        <v>62</v>
      </c>
      <c r="I96" s="4" t="s">
        <v>66</v>
      </c>
      <c r="J96" s="15">
        <v>2</v>
      </c>
      <c r="K96" s="24">
        <f t="shared" si="2"/>
        <v>11.971999999999998</v>
      </c>
    </row>
    <row r="97" spans="1:11" ht="15" customHeight="1" x14ac:dyDescent="0.2">
      <c r="A97" s="12" t="s">
        <v>60</v>
      </c>
      <c r="B97" s="3"/>
      <c r="C97" s="17" t="s">
        <v>37</v>
      </c>
      <c r="D97" s="17"/>
      <c r="E97" s="12" t="s">
        <v>20</v>
      </c>
      <c r="F97" s="13">
        <f>F93</f>
        <v>11.559999999999999</v>
      </c>
      <c r="G97" s="17" t="s">
        <v>38</v>
      </c>
      <c r="H97" s="4" t="s">
        <v>62</v>
      </c>
      <c r="I97" s="15" t="s">
        <v>66</v>
      </c>
      <c r="J97" s="15">
        <v>2</v>
      </c>
      <c r="K97" s="24">
        <f t="shared" si="2"/>
        <v>46.239999999999995</v>
      </c>
    </row>
    <row r="98" spans="1:11" ht="15" customHeight="1" x14ac:dyDescent="0.2">
      <c r="A98" s="12" t="s">
        <v>60</v>
      </c>
      <c r="B98" s="3"/>
      <c r="C98" s="17" t="s">
        <v>37</v>
      </c>
      <c r="D98" s="17"/>
      <c r="E98" s="12" t="s">
        <v>22</v>
      </c>
      <c r="F98" s="13">
        <f>(0.4*0.95)*14</f>
        <v>5.32</v>
      </c>
      <c r="G98" s="17" t="s">
        <v>38</v>
      </c>
      <c r="H98" s="4" t="s">
        <v>62</v>
      </c>
      <c r="I98" s="4" t="s">
        <v>66</v>
      </c>
      <c r="J98" s="15">
        <v>2</v>
      </c>
      <c r="K98" s="24">
        <f t="shared" si="2"/>
        <v>21.28</v>
      </c>
    </row>
    <row r="99" spans="1:11" ht="15" customHeight="1" x14ac:dyDescent="0.2">
      <c r="A99" s="12" t="s">
        <v>60</v>
      </c>
      <c r="B99" s="3"/>
      <c r="C99" s="17" t="s">
        <v>37</v>
      </c>
      <c r="D99" s="17"/>
      <c r="E99" s="12" t="s">
        <v>10</v>
      </c>
      <c r="F99" s="13">
        <f>(1.95*2.58)*2</f>
        <v>10.061999999999999</v>
      </c>
      <c r="G99" s="17" t="s">
        <v>38</v>
      </c>
      <c r="H99" s="4" t="s">
        <v>62</v>
      </c>
      <c r="I99" s="4" t="s">
        <v>66</v>
      </c>
      <c r="J99" s="15">
        <v>2</v>
      </c>
      <c r="K99" s="24">
        <f t="shared" si="2"/>
        <v>40.247999999999998</v>
      </c>
    </row>
    <row r="100" spans="1:11" ht="15" customHeight="1" x14ac:dyDescent="0.2">
      <c r="A100" s="12" t="s">
        <v>60</v>
      </c>
      <c r="B100" s="3"/>
      <c r="C100" s="17" t="s">
        <v>37</v>
      </c>
      <c r="D100" s="17"/>
      <c r="E100" s="12" t="s">
        <v>10</v>
      </c>
      <c r="F100" s="13">
        <f>((1.8*2.62)*3)+((2.06*2.59)*5)</f>
        <v>40.825000000000003</v>
      </c>
      <c r="G100" s="17" t="s">
        <v>38</v>
      </c>
      <c r="H100" s="4" t="s">
        <v>62</v>
      </c>
      <c r="I100" s="15" t="s">
        <v>66</v>
      </c>
      <c r="J100" s="15">
        <v>2</v>
      </c>
      <c r="K100" s="24">
        <f t="shared" si="2"/>
        <v>163.30000000000001</v>
      </c>
    </row>
    <row r="101" spans="1:11" ht="15" customHeight="1" x14ac:dyDescent="0.2">
      <c r="A101" s="12" t="s">
        <v>60</v>
      </c>
      <c r="B101" s="3"/>
      <c r="C101" s="17" t="s">
        <v>37</v>
      </c>
      <c r="D101" s="17">
        <v>4.1500000000000004</v>
      </c>
      <c r="E101" s="12" t="s">
        <v>58</v>
      </c>
      <c r="F101" s="13">
        <f>(1.7*1.7)*2</f>
        <v>5.7799999999999994</v>
      </c>
      <c r="G101" s="17" t="s">
        <v>38</v>
      </c>
      <c r="H101" s="4"/>
      <c r="I101" s="4" t="s">
        <v>66</v>
      </c>
      <c r="J101" s="15">
        <v>2</v>
      </c>
      <c r="K101" s="24">
        <f t="shared" si="2"/>
        <v>23.119999999999997</v>
      </c>
    </row>
    <row r="102" spans="1:11" ht="15" customHeight="1" x14ac:dyDescent="0.2">
      <c r="A102" s="12" t="s">
        <v>60</v>
      </c>
      <c r="B102" s="3"/>
      <c r="C102" s="17" t="s">
        <v>37</v>
      </c>
      <c r="D102" s="17">
        <v>4.1399999999999997</v>
      </c>
      <c r="E102" s="12" t="s">
        <v>58</v>
      </c>
      <c r="F102" s="13">
        <f>7.2*2.77</f>
        <v>19.943999999999999</v>
      </c>
      <c r="G102" s="17" t="s">
        <v>38</v>
      </c>
      <c r="H102" s="4"/>
      <c r="I102" s="4" t="s">
        <v>66</v>
      </c>
      <c r="J102" s="15">
        <v>2</v>
      </c>
      <c r="K102" s="24">
        <f t="shared" si="2"/>
        <v>79.775999999999996</v>
      </c>
    </row>
    <row r="103" spans="1:11" ht="15" customHeight="1" x14ac:dyDescent="0.2">
      <c r="A103" s="12" t="s">
        <v>60</v>
      </c>
      <c r="B103" s="3"/>
      <c r="C103" s="17" t="s">
        <v>37</v>
      </c>
      <c r="D103" s="17">
        <v>4.13</v>
      </c>
      <c r="E103" s="12" t="s">
        <v>58</v>
      </c>
      <c r="F103" s="13">
        <f>(1.7*1.7)*4</f>
        <v>11.559999999999999</v>
      </c>
      <c r="G103" s="17" t="s">
        <v>38</v>
      </c>
      <c r="H103" s="4"/>
      <c r="I103" s="15" t="s">
        <v>66</v>
      </c>
      <c r="J103" s="15">
        <v>2</v>
      </c>
      <c r="K103" s="24">
        <f t="shared" si="2"/>
        <v>46.239999999999995</v>
      </c>
    </row>
    <row r="104" spans="1:11" ht="15" customHeight="1" x14ac:dyDescent="0.2">
      <c r="A104" s="12" t="s">
        <v>60</v>
      </c>
      <c r="B104" s="3"/>
      <c r="C104" s="17" t="s">
        <v>37</v>
      </c>
      <c r="D104" s="17">
        <v>4.28</v>
      </c>
      <c r="E104" s="12" t="s">
        <v>1</v>
      </c>
      <c r="F104" s="13">
        <f>1.49*1.49</f>
        <v>2.2201</v>
      </c>
      <c r="G104" s="17" t="s">
        <v>38</v>
      </c>
      <c r="H104" s="4"/>
      <c r="I104" s="4" t="s">
        <v>66</v>
      </c>
      <c r="J104" s="15">
        <v>2</v>
      </c>
      <c r="K104" s="24">
        <f t="shared" si="2"/>
        <v>8.8803999999999998</v>
      </c>
    </row>
    <row r="105" spans="1:11" ht="15" customHeight="1" x14ac:dyDescent="0.2">
      <c r="A105" s="12" t="s">
        <v>60</v>
      </c>
      <c r="B105" s="3"/>
      <c r="C105" s="17" t="s">
        <v>37</v>
      </c>
      <c r="D105" s="17">
        <v>4.2699999999999996</v>
      </c>
      <c r="E105" s="12" t="s">
        <v>58</v>
      </c>
      <c r="F105" s="13">
        <f>1.49*1.49</f>
        <v>2.2201</v>
      </c>
      <c r="G105" s="17" t="s">
        <v>38</v>
      </c>
      <c r="H105" s="4"/>
      <c r="I105" s="4" t="s">
        <v>66</v>
      </c>
      <c r="J105" s="15">
        <v>2</v>
      </c>
      <c r="K105" s="24">
        <f t="shared" si="2"/>
        <v>8.8803999999999998</v>
      </c>
    </row>
    <row r="106" spans="1:11" ht="15" customHeight="1" x14ac:dyDescent="0.2">
      <c r="A106" s="12" t="s">
        <v>60</v>
      </c>
      <c r="B106" s="3"/>
      <c r="C106" s="17" t="s">
        <v>37</v>
      </c>
      <c r="D106" s="17">
        <v>4.16</v>
      </c>
      <c r="E106" s="12" t="s">
        <v>58</v>
      </c>
      <c r="F106" s="13">
        <f>((1.7*1.7)*2)+(4.32*2.01)+(4.2*2.01)</f>
        <v>22.905200000000001</v>
      </c>
      <c r="G106" s="17" t="s">
        <v>38</v>
      </c>
      <c r="H106" s="4"/>
      <c r="I106" s="15" t="s">
        <v>66</v>
      </c>
      <c r="J106" s="15">
        <v>2</v>
      </c>
      <c r="K106" s="24">
        <f t="shared" si="2"/>
        <v>91.620800000000003</v>
      </c>
    </row>
    <row r="107" spans="1:11" ht="15" customHeight="1" x14ac:dyDescent="0.2">
      <c r="A107" s="12" t="s">
        <v>60</v>
      </c>
      <c r="B107" s="3"/>
      <c r="C107" s="17" t="s">
        <v>37</v>
      </c>
      <c r="D107" s="17">
        <v>4.16</v>
      </c>
      <c r="E107" s="12" t="s">
        <v>24</v>
      </c>
      <c r="F107" s="13">
        <f>(4.32*1.13)+(4.2*1.13)</f>
        <v>9.6275999999999993</v>
      </c>
      <c r="G107" s="17" t="s">
        <v>38</v>
      </c>
      <c r="H107" s="4"/>
      <c r="I107" s="4" t="s">
        <v>66</v>
      </c>
      <c r="J107" s="15">
        <v>2</v>
      </c>
      <c r="K107" s="24">
        <f t="shared" si="2"/>
        <v>38.510399999999997</v>
      </c>
    </row>
    <row r="108" spans="1:11" ht="15" customHeight="1" x14ac:dyDescent="0.2">
      <c r="A108" s="12" t="s">
        <v>60</v>
      </c>
      <c r="B108" s="3"/>
      <c r="C108" s="17" t="s">
        <v>37</v>
      </c>
      <c r="D108" s="17" t="s">
        <v>39</v>
      </c>
      <c r="E108" s="12" t="s">
        <v>58</v>
      </c>
      <c r="F108" s="13">
        <f>1.7*1.7</f>
        <v>2.8899999999999997</v>
      </c>
      <c r="G108" s="17" t="s">
        <v>38</v>
      </c>
      <c r="H108" s="4"/>
      <c r="I108" s="4" t="s">
        <v>66</v>
      </c>
      <c r="J108" s="15">
        <v>2</v>
      </c>
      <c r="K108" s="24">
        <f t="shared" si="2"/>
        <v>11.559999999999999</v>
      </c>
    </row>
    <row r="109" spans="1:11" ht="15" customHeight="1" x14ac:dyDescent="0.2">
      <c r="A109" s="12" t="s">
        <v>60</v>
      </c>
      <c r="B109" s="3"/>
      <c r="C109" s="17" t="s">
        <v>37</v>
      </c>
      <c r="D109" s="17" t="s">
        <v>40</v>
      </c>
      <c r="E109" s="12" t="s">
        <v>58</v>
      </c>
      <c r="F109" s="13">
        <f>((1.7*1.7)*2)+(4.15*2.01)</f>
        <v>14.121499999999999</v>
      </c>
      <c r="G109" s="17" t="s">
        <v>38</v>
      </c>
      <c r="H109" s="4"/>
      <c r="I109" s="15" t="s">
        <v>66</v>
      </c>
      <c r="J109" s="15">
        <v>2</v>
      </c>
      <c r="K109" s="24">
        <f t="shared" si="2"/>
        <v>56.485999999999997</v>
      </c>
    </row>
    <row r="110" spans="1:11" ht="15" customHeight="1" x14ac:dyDescent="0.2">
      <c r="A110" s="12" t="s">
        <v>60</v>
      </c>
      <c r="B110" s="3"/>
      <c r="C110" s="17" t="s">
        <v>37</v>
      </c>
      <c r="D110" s="17">
        <v>4.18</v>
      </c>
      <c r="E110" s="12" t="s">
        <v>58</v>
      </c>
      <c r="F110" s="13">
        <f>(1.7*1.7)*5</f>
        <v>14.45</v>
      </c>
      <c r="G110" s="17" t="s">
        <v>38</v>
      </c>
      <c r="H110" s="4"/>
      <c r="I110" s="4" t="s">
        <v>66</v>
      </c>
      <c r="J110" s="15">
        <v>2</v>
      </c>
      <c r="K110" s="24">
        <f t="shared" si="2"/>
        <v>57.8</v>
      </c>
    </row>
    <row r="111" spans="1:11" ht="15" customHeight="1" x14ac:dyDescent="0.2">
      <c r="A111" s="12" t="s">
        <v>60</v>
      </c>
      <c r="B111" s="3"/>
      <c r="C111" s="17" t="s">
        <v>37</v>
      </c>
      <c r="D111" s="17">
        <v>4.2</v>
      </c>
      <c r="E111" s="12" t="s">
        <v>58</v>
      </c>
      <c r="F111" s="13">
        <f>(1.7*1.7)*5</f>
        <v>14.45</v>
      </c>
      <c r="G111" s="17" t="s">
        <v>38</v>
      </c>
      <c r="H111" s="4"/>
      <c r="I111" s="4" t="s">
        <v>66</v>
      </c>
      <c r="J111" s="15">
        <v>2</v>
      </c>
      <c r="K111" s="24">
        <f t="shared" si="2"/>
        <v>57.8</v>
      </c>
    </row>
    <row r="112" spans="1:11" ht="15" customHeight="1" x14ac:dyDescent="0.2">
      <c r="A112" s="12" t="s">
        <v>60</v>
      </c>
      <c r="B112" s="3"/>
      <c r="C112" s="17" t="s">
        <v>37</v>
      </c>
      <c r="D112" s="17">
        <v>4.12</v>
      </c>
      <c r="E112" s="12" t="s">
        <v>58</v>
      </c>
      <c r="F112" s="13">
        <f>(1.7*1.7)+(4.32*2.01)+(4.54*20.1)</f>
        <v>102.8272</v>
      </c>
      <c r="G112" s="17" t="s">
        <v>38</v>
      </c>
      <c r="H112" s="4"/>
      <c r="I112" s="15" t="s">
        <v>66</v>
      </c>
      <c r="J112" s="15">
        <v>2</v>
      </c>
      <c r="K112" s="24">
        <f t="shared" si="2"/>
        <v>411.30880000000002</v>
      </c>
    </row>
    <row r="113" spans="1:11" ht="15" customHeight="1" x14ac:dyDescent="0.2">
      <c r="A113" s="12" t="s">
        <v>60</v>
      </c>
      <c r="B113" s="3"/>
      <c r="C113" s="17" t="s">
        <v>37</v>
      </c>
      <c r="D113" s="17">
        <v>4.12</v>
      </c>
      <c r="E113" s="12" t="s">
        <v>24</v>
      </c>
      <c r="F113" s="13">
        <f>(4.32*1.13)+(4.54*1.13)</f>
        <v>10.011799999999999</v>
      </c>
      <c r="G113" s="17" t="s">
        <v>38</v>
      </c>
      <c r="H113" s="4"/>
      <c r="I113" s="4" t="s">
        <v>66</v>
      </c>
      <c r="J113" s="15">
        <v>2</v>
      </c>
      <c r="K113" s="24">
        <f t="shared" si="2"/>
        <v>40.047199999999997</v>
      </c>
    </row>
    <row r="114" spans="1:11" ht="15" customHeight="1" x14ac:dyDescent="0.2">
      <c r="A114" s="12" t="s">
        <v>60</v>
      </c>
      <c r="B114" s="3"/>
      <c r="C114" s="17" t="s">
        <v>37</v>
      </c>
      <c r="D114" s="17">
        <v>4.1100000000000003</v>
      </c>
      <c r="E114" s="12" t="s">
        <v>58</v>
      </c>
      <c r="F114" s="13">
        <f>((1.7*1.7)*2)+((1.7*2.49)*2)</f>
        <v>14.246</v>
      </c>
      <c r="G114" s="17" t="s">
        <v>38</v>
      </c>
      <c r="H114" s="4"/>
      <c r="I114" s="4" t="s">
        <v>66</v>
      </c>
      <c r="J114" s="15">
        <v>2</v>
      </c>
      <c r="K114" s="24">
        <f t="shared" si="2"/>
        <v>56.984000000000002</v>
      </c>
    </row>
    <row r="115" spans="1:11" ht="15" customHeight="1" x14ac:dyDescent="0.2">
      <c r="A115" s="12" t="s">
        <v>60</v>
      </c>
      <c r="B115" s="3"/>
      <c r="C115" s="17" t="s">
        <v>37</v>
      </c>
      <c r="D115" s="17" t="s">
        <v>41</v>
      </c>
      <c r="E115" s="12" t="s">
        <v>58</v>
      </c>
      <c r="F115" s="13">
        <f>(1.7*1.7)*3</f>
        <v>8.6699999999999982</v>
      </c>
      <c r="G115" s="17" t="s">
        <v>38</v>
      </c>
      <c r="H115" s="4"/>
      <c r="I115" s="15" t="s">
        <v>66</v>
      </c>
      <c r="J115" s="15">
        <v>2</v>
      </c>
      <c r="K115" s="24">
        <f t="shared" si="2"/>
        <v>34.679999999999993</v>
      </c>
    </row>
    <row r="116" spans="1:11" ht="15" customHeight="1" x14ac:dyDescent="0.2">
      <c r="A116" s="12" t="s">
        <v>60</v>
      </c>
      <c r="B116" s="3"/>
      <c r="C116" s="17" t="s">
        <v>37</v>
      </c>
      <c r="D116" s="17" t="s">
        <v>42</v>
      </c>
      <c r="E116" s="12" t="s">
        <v>58</v>
      </c>
      <c r="F116" s="13">
        <f>(1.7*1.7)*3</f>
        <v>8.6699999999999982</v>
      </c>
      <c r="G116" s="17" t="s">
        <v>38</v>
      </c>
      <c r="H116" s="4"/>
      <c r="I116" s="4" t="s">
        <v>66</v>
      </c>
      <c r="J116" s="15">
        <v>2</v>
      </c>
      <c r="K116" s="24">
        <f t="shared" si="2"/>
        <v>34.679999999999993</v>
      </c>
    </row>
    <row r="117" spans="1:11" ht="15" customHeight="1" x14ac:dyDescent="0.2">
      <c r="A117" s="12" t="s">
        <v>60</v>
      </c>
      <c r="B117" s="3"/>
      <c r="C117" s="17" t="s">
        <v>37</v>
      </c>
      <c r="D117" s="17" t="s">
        <v>43</v>
      </c>
      <c r="E117" s="12" t="s">
        <v>58</v>
      </c>
      <c r="F117" s="13">
        <f>((1.7*2.49)*2)+(1.7*1.7)</f>
        <v>11.356000000000002</v>
      </c>
      <c r="G117" s="17" t="s">
        <v>38</v>
      </c>
      <c r="H117" s="4"/>
      <c r="I117" s="4" t="s">
        <v>66</v>
      </c>
      <c r="J117" s="15">
        <v>2</v>
      </c>
      <c r="K117" s="24">
        <f t="shared" si="2"/>
        <v>45.424000000000007</v>
      </c>
    </row>
    <row r="118" spans="1:11" ht="15" customHeight="1" x14ac:dyDescent="0.2">
      <c r="A118" s="12" t="s">
        <v>60</v>
      </c>
      <c r="B118" s="3"/>
      <c r="C118" s="17" t="s">
        <v>37</v>
      </c>
      <c r="D118" s="17" t="s">
        <v>44</v>
      </c>
      <c r="E118" s="12" t="s">
        <v>58</v>
      </c>
      <c r="F118" s="13">
        <f>((1.7*1.7)*2)+(4.73*2.01)+(4.11*2.01)</f>
        <v>23.548399999999997</v>
      </c>
      <c r="G118" s="17" t="s">
        <v>38</v>
      </c>
      <c r="H118" s="4"/>
      <c r="I118" s="15" t="s">
        <v>66</v>
      </c>
      <c r="J118" s="15">
        <v>2</v>
      </c>
      <c r="K118" s="24">
        <f t="shared" si="2"/>
        <v>94.193599999999989</v>
      </c>
    </row>
    <row r="119" spans="1:11" ht="15" customHeight="1" x14ac:dyDescent="0.2">
      <c r="A119" s="12" t="s">
        <v>60</v>
      </c>
      <c r="B119" s="3"/>
      <c r="C119" s="17" t="s">
        <v>37</v>
      </c>
      <c r="D119" s="17" t="s">
        <v>44</v>
      </c>
      <c r="E119" s="12" t="s">
        <v>24</v>
      </c>
      <c r="F119" s="13">
        <f>(4.73*1.13)+(4.11*1.13)</f>
        <v>9.9892000000000003</v>
      </c>
      <c r="G119" s="17" t="s">
        <v>38</v>
      </c>
      <c r="H119" s="4"/>
      <c r="I119" s="4" t="s">
        <v>66</v>
      </c>
      <c r="J119" s="15">
        <v>2</v>
      </c>
      <c r="K119" s="24">
        <f t="shared" si="2"/>
        <v>39.956800000000001</v>
      </c>
    </row>
    <row r="120" spans="1:11" ht="15" customHeight="1" x14ac:dyDescent="0.2">
      <c r="A120" s="12" t="s">
        <v>60</v>
      </c>
      <c r="B120" s="3"/>
      <c r="C120" s="17" t="s">
        <v>37</v>
      </c>
      <c r="D120" s="17" t="s">
        <v>45</v>
      </c>
      <c r="E120" s="12" t="s">
        <v>58</v>
      </c>
      <c r="F120" s="13">
        <f>(1.7*1.7)*2</f>
        <v>5.7799999999999994</v>
      </c>
      <c r="G120" s="17" t="s">
        <v>38</v>
      </c>
      <c r="H120" s="4"/>
      <c r="I120" s="4" t="s">
        <v>66</v>
      </c>
      <c r="J120" s="15">
        <v>2</v>
      </c>
      <c r="K120" s="24">
        <f t="shared" si="2"/>
        <v>23.119999999999997</v>
      </c>
    </row>
    <row r="121" spans="1:11" ht="15" customHeight="1" x14ac:dyDescent="0.2">
      <c r="A121" s="12" t="s">
        <v>60</v>
      </c>
      <c r="B121" s="3"/>
      <c r="C121" s="17" t="s">
        <v>37</v>
      </c>
      <c r="D121" s="17" t="s">
        <v>46</v>
      </c>
      <c r="E121" s="12" t="s">
        <v>58</v>
      </c>
      <c r="F121" s="13">
        <f>(1.7*1.7)*2</f>
        <v>5.7799999999999994</v>
      </c>
      <c r="G121" s="17" t="s">
        <v>38</v>
      </c>
      <c r="H121" s="4"/>
      <c r="I121" s="15" t="s">
        <v>66</v>
      </c>
      <c r="J121" s="15">
        <v>2</v>
      </c>
      <c r="K121" s="24">
        <f t="shared" si="2"/>
        <v>23.119999999999997</v>
      </c>
    </row>
    <row r="122" spans="1:11" ht="15" customHeight="1" x14ac:dyDescent="0.2">
      <c r="A122" s="12" t="s">
        <v>60</v>
      </c>
      <c r="B122" s="3"/>
      <c r="C122" s="17" t="s">
        <v>37</v>
      </c>
      <c r="D122" s="17">
        <v>4.0199999999999996</v>
      </c>
      <c r="E122" s="12" t="s">
        <v>58</v>
      </c>
      <c r="F122" s="13">
        <f>1.7*1.7</f>
        <v>2.8899999999999997</v>
      </c>
      <c r="G122" s="17" t="s">
        <v>38</v>
      </c>
      <c r="H122" s="4"/>
      <c r="I122" s="4" t="s">
        <v>66</v>
      </c>
      <c r="J122" s="15">
        <v>2</v>
      </c>
      <c r="K122" s="24">
        <f t="shared" si="2"/>
        <v>11.559999999999999</v>
      </c>
    </row>
    <row r="123" spans="1:11" ht="15" customHeight="1" x14ac:dyDescent="0.2">
      <c r="A123" s="12" t="s">
        <v>60</v>
      </c>
      <c r="B123" s="3"/>
      <c r="C123" s="17" t="s">
        <v>37</v>
      </c>
      <c r="D123" s="17" t="s">
        <v>47</v>
      </c>
      <c r="E123" s="12" t="s">
        <v>58</v>
      </c>
      <c r="F123" s="13">
        <f>(1.7*1.7)*2</f>
        <v>5.7799999999999994</v>
      </c>
      <c r="G123" s="17" t="s">
        <v>38</v>
      </c>
      <c r="H123" s="4"/>
      <c r="I123" s="4" t="s">
        <v>66</v>
      </c>
      <c r="J123" s="15">
        <v>2</v>
      </c>
      <c r="K123" s="24">
        <f t="shared" si="2"/>
        <v>23.119999999999997</v>
      </c>
    </row>
    <row r="124" spans="1:11" ht="15" customHeight="1" x14ac:dyDescent="0.2">
      <c r="A124" s="12" t="s">
        <v>60</v>
      </c>
      <c r="B124" s="3"/>
      <c r="C124" s="17" t="s">
        <v>37</v>
      </c>
      <c r="D124" s="17" t="s">
        <v>48</v>
      </c>
      <c r="E124" s="12" t="s">
        <v>58</v>
      </c>
      <c r="F124" s="13">
        <f>(1.7*1.7)*3</f>
        <v>8.6699999999999982</v>
      </c>
      <c r="G124" s="17" t="s">
        <v>38</v>
      </c>
      <c r="H124" s="4"/>
      <c r="I124" s="15" t="s">
        <v>66</v>
      </c>
      <c r="J124" s="15">
        <v>2</v>
      </c>
      <c r="K124" s="24">
        <f t="shared" si="2"/>
        <v>34.679999999999993</v>
      </c>
    </row>
    <row r="125" spans="1:11" ht="15" customHeight="1" x14ac:dyDescent="0.2">
      <c r="A125" s="12" t="s">
        <v>60</v>
      </c>
      <c r="B125" s="3"/>
      <c r="C125" s="17" t="s">
        <v>37</v>
      </c>
      <c r="D125" s="17" t="s">
        <v>49</v>
      </c>
      <c r="E125" s="12" t="s">
        <v>58</v>
      </c>
      <c r="F125" s="13">
        <f>1.7*1.7</f>
        <v>2.8899999999999997</v>
      </c>
      <c r="G125" s="17" t="s">
        <v>38</v>
      </c>
      <c r="H125" s="4"/>
      <c r="I125" s="4" t="s">
        <v>66</v>
      </c>
      <c r="J125" s="15">
        <v>2</v>
      </c>
      <c r="K125" s="24">
        <f t="shared" si="2"/>
        <v>11.559999999999999</v>
      </c>
    </row>
    <row r="126" spans="1:11" ht="15" customHeight="1" x14ac:dyDescent="0.2">
      <c r="A126" s="12" t="s">
        <v>60</v>
      </c>
      <c r="B126" s="3"/>
      <c r="C126" s="17" t="s">
        <v>50</v>
      </c>
      <c r="D126" s="17"/>
      <c r="E126" s="12" t="s">
        <v>19</v>
      </c>
      <c r="F126" s="13">
        <f>(0.38*2.05)*2</f>
        <v>1.5579999999999998</v>
      </c>
      <c r="G126" s="17" t="s">
        <v>38</v>
      </c>
      <c r="H126" s="4" t="s">
        <v>62</v>
      </c>
      <c r="I126" s="4" t="s">
        <v>66</v>
      </c>
      <c r="J126" s="15">
        <v>2</v>
      </c>
      <c r="K126" s="24">
        <f t="shared" si="2"/>
        <v>6.2319999999999993</v>
      </c>
    </row>
    <row r="127" spans="1:11" ht="15" customHeight="1" x14ac:dyDescent="0.2">
      <c r="A127" s="12" t="s">
        <v>60</v>
      </c>
      <c r="B127" s="3"/>
      <c r="C127" s="17" t="s">
        <v>50</v>
      </c>
      <c r="D127" s="17"/>
      <c r="E127" s="12" t="s">
        <v>20</v>
      </c>
      <c r="F127" s="13">
        <f>(0.38*2.05)*2</f>
        <v>1.5579999999999998</v>
      </c>
      <c r="G127" s="17" t="s">
        <v>38</v>
      </c>
      <c r="H127" s="4" t="s">
        <v>62</v>
      </c>
      <c r="I127" s="15" t="s">
        <v>66</v>
      </c>
      <c r="J127" s="15">
        <v>2</v>
      </c>
      <c r="K127" s="24">
        <f t="shared" si="2"/>
        <v>6.2319999999999993</v>
      </c>
    </row>
    <row r="128" spans="1:11" ht="15" customHeight="1" x14ac:dyDescent="0.2">
      <c r="A128" s="12" t="s">
        <v>60</v>
      </c>
      <c r="B128" s="3"/>
      <c r="C128" s="17" t="s">
        <v>50</v>
      </c>
      <c r="D128" s="17"/>
      <c r="E128" s="12" t="s">
        <v>22</v>
      </c>
      <c r="F128" s="13">
        <f>(0.4*0.95)*4</f>
        <v>1.52</v>
      </c>
      <c r="G128" s="17" t="s">
        <v>38</v>
      </c>
      <c r="H128" s="4" t="s">
        <v>62</v>
      </c>
      <c r="I128" s="4" t="s">
        <v>66</v>
      </c>
      <c r="J128" s="15">
        <v>2</v>
      </c>
      <c r="K128" s="24">
        <f t="shared" si="2"/>
        <v>6.08</v>
      </c>
    </row>
    <row r="129" spans="1:11" ht="15" customHeight="1" x14ac:dyDescent="0.2">
      <c r="A129" s="12" t="s">
        <v>60</v>
      </c>
      <c r="B129" s="3"/>
      <c r="C129" s="17" t="s">
        <v>50</v>
      </c>
      <c r="D129" s="17"/>
      <c r="E129" s="12" t="s">
        <v>10</v>
      </c>
      <c r="F129" s="13">
        <f>(2.03*2.58)*6</f>
        <v>31.424399999999999</v>
      </c>
      <c r="G129" s="17" t="s">
        <v>38</v>
      </c>
      <c r="H129" s="4" t="s">
        <v>62</v>
      </c>
      <c r="I129" s="4" t="s">
        <v>66</v>
      </c>
      <c r="J129" s="15">
        <v>2</v>
      </c>
      <c r="K129" s="24">
        <f t="shared" si="2"/>
        <v>125.69759999999999</v>
      </c>
    </row>
    <row r="130" spans="1:11" ht="15" customHeight="1" x14ac:dyDescent="0.2">
      <c r="A130" s="12" t="s">
        <v>60</v>
      </c>
      <c r="B130" s="3"/>
      <c r="C130" s="17" t="s">
        <v>50</v>
      </c>
      <c r="D130" s="17"/>
      <c r="E130" s="12" t="s">
        <v>10</v>
      </c>
      <c r="F130" s="13">
        <f>(2.02*2.61)*2</f>
        <v>10.5444</v>
      </c>
      <c r="G130" s="17" t="s">
        <v>38</v>
      </c>
      <c r="H130" s="4" t="s">
        <v>62</v>
      </c>
      <c r="I130" s="15" t="s">
        <v>66</v>
      </c>
      <c r="J130" s="15">
        <v>2</v>
      </c>
      <c r="K130" s="24">
        <f t="shared" si="2"/>
        <v>42.177599999999998</v>
      </c>
    </row>
    <row r="131" spans="1:11" ht="15" customHeight="1" x14ac:dyDescent="0.2">
      <c r="A131" s="12" t="s">
        <v>60</v>
      </c>
      <c r="B131" s="3"/>
      <c r="C131" s="17" t="s">
        <v>50</v>
      </c>
      <c r="D131" s="17"/>
      <c r="E131" s="12" t="s">
        <v>51</v>
      </c>
      <c r="F131" s="13">
        <f>(0.2*1.8)*5</f>
        <v>1.8000000000000003</v>
      </c>
      <c r="G131" s="17" t="s">
        <v>38</v>
      </c>
      <c r="H131" s="4" t="s">
        <v>62</v>
      </c>
      <c r="I131" s="4" t="s">
        <v>66</v>
      </c>
      <c r="J131" s="15">
        <v>2</v>
      </c>
      <c r="K131" s="24">
        <f t="shared" si="2"/>
        <v>7.2000000000000011</v>
      </c>
    </row>
    <row r="132" spans="1:11" ht="15" customHeight="1" x14ac:dyDescent="0.2">
      <c r="A132" s="12" t="s">
        <v>60</v>
      </c>
      <c r="B132" s="3"/>
      <c r="C132" s="17" t="s">
        <v>50</v>
      </c>
      <c r="D132" s="17"/>
      <c r="E132" s="12" t="s">
        <v>52</v>
      </c>
      <c r="F132" s="13">
        <f>((4.27*0.4)*3)+((0.76*2)*5)+(5.05*2.4)</f>
        <v>24.844000000000001</v>
      </c>
      <c r="G132" s="17" t="s">
        <v>38</v>
      </c>
      <c r="H132" s="4" t="s">
        <v>62</v>
      </c>
      <c r="I132" s="4" t="s">
        <v>66</v>
      </c>
      <c r="J132" s="15">
        <v>2</v>
      </c>
      <c r="K132" s="24">
        <f t="shared" si="2"/>
        <v>99.376000000000005</v>
      </c>
    </row>
    <row r="133" spans="1:11" ht="15" customHeight="1" x14ac:dyDescent="0.2">
      <c r="A133" s="12" t="s">
        <v>60</v>
      </c>
      <c r="B133" s="3"/>
      <c r="C133" s="17" t="s">
        <v>50</v>
      </c>
      <c r="D133" s="17"/>
      <c r="E133" s="12" t="s">
        <v>52</v>
      </c>
      <c r="F133" s="13">
        <f>(2.48*2.62)+((1.9*2.62)*3)+(4.5*0.4)+(0.24*0.4)</f>
        <v>23.3276</v>
      </c>
      <c r="G133" s="17" t="s">
        <v>38</v>
      </c>
      <c r="H133" s="4" t="s">
        <v>62</v>
      </c>
      <c r="I133" s="15" t="s">
        <v>66</v>
      </c>
      <c r="J133" s="15">
        <v>2</v>
      </c>
      <c r="K133" s="24">
        <f t="shared" si="2"/>
        <v>93.310400000000001</v>
      </c>
    </row>
    <row r="134" spans="1:11" ht="15" customHeight="1" x14ac:dyDescent="0.2">
      <c r="A134" s="12" t="s">
        <v>60</v>
      </c>
      <c r="B134" s="3"/>
      <c r="C134" s="17" t="s">
        <v>50</v>
      </c>
      <c r="D134" s="17"/>
      <c r="E134" s="12" t="s">
        <v>52</v>
      </c>
      <c r="F134" s="13">
        <f>((0.95*2.1)*2)+(0.24*2.1)+((2*2.62)*2)</f>
        <v>14.974</v>
      </c>
      <c r="G134" s="17" t="s">
        <v>38</v>
      </c>
      <c r="H134" s="4" t="s">
        <v>62</v>
      </c>
      <c r="I134" s="4" t="s">
        <v>66</v>
      </c>
      <c r="J134" s="15">
        <v>2</v>
      </c>
      <c r="K134" s="24">
        <f t="shared" si="2"/>
        <v>59.896000000000001</v>
      </c>
    </row>
    <row r="135" spans="1:11" ht="15" customHeight="1" x14ac:dyDescent="0.2">
      <c r="A135" s="12" t="s">
        <v>60</v>
      </c>
      <c r="B135" s="3"/>
      <c r="C135" s="17" t="s">
        <v>50</v>
      </c>
      <c r="D135" s="17">
        <v>5.07</v>
      </c>
      <c r="E135" s="12" t="s">
        <v>58</v>
      </c>
      <c r="F135" s="13">
        <f>((1.7*2.9)*5)+(3.8*2.9)+(3.7*2.9)</f>
        <v>46.400000000000006</v>
      </c>
      <c r="G135" s="17" t="s">
        <v>38</v>
      </c>
      <c r="H135" s="4"/>
      <c r="I135" s="4" t="s">
        <v>66</v>
      </c>
      <c r="J135" s="15">
        <v>2</v>
      </c>
      <c r="K135" s="24">
        <f t="shared" si="2"/>
        <v>185.60000000000002</v>
      </c>
    </row>
    <row r="136" spans="1:11" ht="15" customHeight="1" x14ac:dyDescent="0.2">
      <c r="A136" s="12" t="s">
        <v>60</v>
      </c>
      <c r="B136" s="3"/>
      <c r="C136" s="17" t="s">
        <v>50</v>
      </c>
      <c r="D136" s="17">
        <v>5.08</v>
      </c>
      <c r="E136" s="12" t="s">
        <v>58</v>
      </c>
      <c r="F136" s="13">
        <f>5.09*3.21</f>
        <v>16.338899999999999</v>
      </c>
      <c r="G136" s="17" t="s">
        <v>38</v>
      </c>
      <c r="H136" s="4"/>
      <c r="I136" s="15" t="s">
        <v>66</v>
      </c>
      <c r="J136" s="15">
        <v>2</v>
      </c>
      <c r="K136" s="24">
        <f t="shared" si="2"/>
        <v>65.355599999999995</v>
      </c>
    </row>
    <row r="137" spans="1:11" ht="15" customHeight="1" x14ac:dyDescent="0.2">
      <c r="A137" s="12" t="s">
        <v>60</v>
      </c>
      <c r="B137" s="3"/>
      <c r="C137" s="17" t="s">
        <v>50</v>
      </c>
      <c r="D137" s="17">
        <v>5.09</v>
      </c>
      <c r="E137" s="12" t="s">
        <v>58</v>
      </c>
      <c r="F137" s="13">
        <f>2.16*3.21</f>
        <v>6.9336000000000002</v>
      </c>
      <c r="G137" s="17" t="s">
        <v>38</v>
      </c>
      <c r="H137" s="4"/>
      <c r="I137" s="4" t="s">
        <v>66</v>
      </c>
      <c r="J137" s="15">
        <v>2</v>
      </c>
      <c r="K137" s="24">
        <f t="shared" si="2"/>
        <v>27.734400000000001</v>
      </c>
    </row>
    <row r="138" spans="1:11" ht="15" customHeight="1" x14ac:dyDescent="0.2">
      <c r="A138" s="12" t="s">
        <v>60</v>
      </c>
      <c r="B138" s="3"/>
      <c r="C138" s="17" t="s">
        <v>50</v>
      </c>
      <c r="D138" s="17">
        <v>5.0999999999999996</v>
      </c>
      <c r="E138" s="12" t="s">
        <v>58</v>
      </c>
      <c r="F138" s="13">
        <f>(9.8*3.21)+(7.24*2.61)+(5*3.21)+(4.73*3.21)+(9.7*2.61)+(2.5*3.21)</f>
        <v>114.9297</v>
      </c>
      <c r="G138" s="17" t="s">
        <v>38</v>
      </c>
      <c r="H138" s="4"/>
      <c r="I138" s="4" t="s">
        <v>66</v>
      </c>
      <c r="J138" s="15">
        <v>2</v>
      </c>
      <c r="K138" s="24">
        <f t="shared" si="2"/>
        <v>459.71879999999999</v>
      </c>
    </row>
    <row r="139" spans="1:11" ht="15" customHeight="1" x14ac:dyDescent="0.2">
      <c r="A139" s="12" t="s">
        <v>60</v>
      </c>
      <c r="B139" s="3"/>
      <c r="C139" s="17" t="s">
        <v>50</v>
      </c>
      <c r="D139" s="17">
        <v>5.12</v>
      </c>
      <c r="E139" s="12" t="s">
        <v>58</v>
      </c>
      <c r="F139" s="13">
        <f>(11.65*3.21)+(9.18*3.21)</f>
        <v>66.8643</v>
      </c>
      <c r="G139" s="17" t="s">
        <v>38</v>
      </c>
      <c r="H139" s="4"/>
      <c r="I139" s="15" t="s">
        <v>66</v>
      </c>
      <c r="J139" s="15">
        <v>2</v>
      </c>
      <c r="K139" s="24">
        <f t="shared" si="2"/>
        <v>267.4572</v>
      </c>
    </row>
    <row r="140" spans="1:11" ht="15" customHeight="1" x14ac:dyDescent="0.2">
      <c r="A140" s="12" t="s">
        <v>60</v>
      </c>
      <c r="B140" s="3"/>
      <c r="C140" s="17" t="s">
        <v>50</v>
      </c>
      <c r="D140" s="17">
        <v>5.26</v>
      </c>
      <c r="E140" s="12" t="s">
        <v>58</v>
      </c>
      <c r="F140" s="13">
        <f>(1.2*3.21)+(4.1*2.6)+(9.6*3.21)+(4.18*3.21)+(7*3.21)+(4.56*3.21)</f>
        <v>95.853399999999993</v>
      </c>
      <c r="G140" s="17" t="s">
        <v>38</v>
      </c>
      <c r="H140" s="4"/>
      <c r="I140" s="4" t="s">
        <v>66</v>
      </c>
      <c r="J140" s="15">
        <v>2</v>
      </c>
      <c r="K140" s="24">
        <f t="shared" si="2"/>
        <v>383.41359999999997</v>
      </c>
    </row>
    <row r="141" spans="1:11" ht="15" customHeight="1" x14ac:dyDescent="0.2">
      <c r="A141" s="12" t="s">
        <v>60</v>
      </c>
      <c r="B141" s="3"/>
      <c r="C141" s="17" t="s">
        <v>50</v>
      </c>
      <c r="D141" s="17">
        <v>5.28</v>
      </c>
      <c r="E141" s="12" t="s">
        <v>58</v>
      </c>
      <c r="F141" s="13">
        <f>5*3.21</f>
        <v>16.05</v>
      </c>
      <c r="G141" s="17" t="s">
        <v>38</v>
      </c>
      <c r="H141" s="4"/>
      <c r="I141" s="4" t="s">
        <v>66</v>
      </c>
      <c r="J141" s="15">
        <v>2</v>
      </c>
      <c r="K141" s="24">
        <f t="shared" si="2"/>
        <v>64.2</v>
      </c>
    </row>
    <row r="142" spans="1:11" ht="15" customHeight="1" x14ac:dyDescent="0.2">
      <c r="A142" s="12" t="s">
        <v>60</v>
      </c>
      <c r="B142" s="3"/>
      <c r="C142" s="17" t="s">
        <v>50</v>
      </c>
      <c r="D142" s="17">
        <v>5.29</v>
      </c>
      <c r="E142" s="12" t="s">
        <v>58</v>
      </c>
      <c r="F142" s="13">
        <f>(12.3*3.21)+(12.3*2.66)</f>
        <v>72.201000000000008</v>
      </c>
      <c r="G142" s="17" t="s">
        <v>38</v>
      </c>
      <c r="H142" s="4"/>
      <c r="I142" s="15" t="s">
        <v>66</v>
      </c>
      <c r="J142" s="15">
        <v>2</v>
      </c>
      <c r="K142" s="24">
        <f t="shared" si="2"/>
        <v>288.80400000000003</v>
      </c>
    </row>
    <row r="143" spans="1:11" ht="15" customHeight="1" x14ac:dyDescent="0.2">
      <c r="A143" s="12" t="s">
        <v>60</v>
      </c>
      <c r="B143" s="3" t="s">
        <v>53</v>
      </c>
      <c r="C143" s="17"/>
      <c r="D143" s="17"/>
      <c r="E143" s="12"/>
      <c r="F143" s="13">
        <f>(1.35*1.22)*2</f>
        <v>3.294</v>
      </c>
      <c r="G143" s="17" t="s">
        <v>38</v>
      </c>
      <c r="H143" s="4"/>
      <c r="I143" s="4" t="s">
        <v>67</v>
      </c>
      <c r="J143" s="15">
        <v>1</v>
      </c>
      <c r="K143" s="24">
        <f t="shared" si="2"/>
        <v>6.5880000000000001</v>
      </c>
    </row>
    <row r="144" spans="1:11" ht="15" customHeight="1" x14ac:dyDescent="0.2">
      <c r="A144" s="12" t="s">
        <v>60</v>
      </c>
      <c r="B144" s="3" t="s">
        <v>54</v>
      </c>
      <c r="C144" s="17"/>
      <c r="D144" s="17"/>
      <c r="E144" s="12"/>
      <c r="F144" s="13">
        <f>0.9*1.9</f>
        <v>1.71</v>
      </c>
      <c r="G144" s="17" t="s">
        <v>38</v>
      </c>
      <c r="H144" s="4"/>
      <c r="I144" s="4" t="s">
        <v>67</v>
      </c>
      <c r="J144" s="15">
        <v>1</v>
      </c>
      <c r="K144" s="24">
        <f t="shared" si="2"/>
        <v>3.42</v>
      </c>
    </row>
    <row r="145" spans="1:11" ht="15" customHeight="1" thickBot="1" x14ac:dyDescent="0.25">
      <c r="A145" s="28" t="s">
        <v>60</v>
      </c>
      <c r="B145" s="29" t="s">
        <v>55</v>
      </c>
      <c r="C145" s="30"/>
      <c r="D145" s="30"/>
      <c r="E145" s="28"/>
      <c r="F145" s="31">
        <f>((13.6*1.15)*2)+((22.5*6.51)*2)</f>
        <v>324.22999999999996</v>
      </c>
      <c r="G145" s="30" t="s">
        <v>38</v>
      </c>
      <c r="H145" s="32"/>
      <c r="I145" s="32" t="s">
        <v>67</v>
      </c>
      <c r="J145" s="33">
        <v>1</v>
      </c>
      <c r="K145" s="34">
        <f t="shared" si="2"/>
        <v>648.45999999999992</v>
      </c>
    </row>
    <row r="146" spans="1:11" ht="12" customHeight="1" thickBot="1" x14ac:dyDescent="0.25">
      <c r="A146" s="8"/>
      <c r="B146" s="8"/>
      <c r="C146" s="10"/>
      <c r="D146" s="10"/>
      <c r="E146" s="8"/>
      <c r="F146" s="9"/>
      <c r="G146" s="35"/>
      <c r="H146" s="35"/>
      <c r="I146" s="35"/>
      <c r="J146" s="35"/>
      <c r="K146" s="27"/>
    </row>
    <row r="147" spans="1:11" ht="32.450000000000003" customHeight="1" thickBot="1" x14ac:dyDescent="0.25">
      <c r="A147" s="25" t="s">
        <v>56</v>
      </c>
      <c r="B147" s="11"/>
      <c r="C147" s="7"/>
      <c r="D147" s="7"/>
      <c r="E147" s="7" t="s">
        <v>65</v>
      </c>
      <c r="F147" s="6">
        <f>SUM(F7:F145)</f>
        <v>2984.9376000000016</v>
      </c>
      <c r="G147" s="18"/>
      <c r="H147" s="7"/>
      <c r="I147" s="48" t="s">
        <v>73</v>
      </c>
      <c r="J147" s="49"/>
      <c r="K147" s="26">
        <f>SUM(K7:K145)</f>
        <v>14877.408800000007</v>
      </c>
    </row>
    <row r="148" spans="1:11" ht="12" customHeight="1" thickBot="1" x14ac:dyDescent="0.25">
      <c r="A148" s="8"/>
      <c r="B148" s="8"/>
      <c r="C148" s="10"/>
      <c r="D148" s="10"/>
      <c r="E148" s="8"/>
      <c r="F148" s="9"/>
      <c r="G148" s="10"/>
      <c r="H148" s="10"/>
      <c r="I148" s="10"/>
      <c r="J148" s="10"/>
      <c r="K148" s="27"/>
    </row>
    <row r="149" spans="1:11" x14ac:dyDescent="0.2">
      <c r="E149" s="2"/>
      <c r="H149" s="1"/>
      <c r="I149" s="1"/>
      <c r="J149" s="1"/>
    </row>
    <row r="150" spans="1:11" x14ac:dyDescent="0.2">
      <c r="E150" s="2"/>
      <c r="H150" s="1"/>
      <c r="I150" s="1"/>
      <c r="J150" s="1"/>
    </row>
  </sheetData>
  <autoFilter ref="A5:H145" xr:uid="{00000000-0009-0000-0000-000001000000}"/>
  <mergeCells count="3">
    <mergeCell ref="I5:J5"/>
    <mergeCell ref="I147:J147"/>
    <mergeCell ref="A1:K1"/>
  </mergeCells>
  <printOptions horizontalCentered="1"/>
  <pageMargins left="0.39370078740157483" right="0.19685039370078741" top="0.78740157480314965" bottom="0.39370078740157483" header="0.39370078740157483" footer="0.11811023622047245"/>
  <pageSetup paperSize="9" scale="64" orientation="landscape" r:id="rId1"/>
  <headerFooter>
    <oddHeader>&amp;C&amp;"Arial,Fett"&amp;12&amp;F</oddHeader>
    <oddFooter>&amp;L&amp;"Arial,Standard"&amp;8 25-08710&amp;C&amp;"Arial,Standard"&amp;8Glas- und Fassadenreinigung Museumstraße&amp;R&amp;"Arial,Standard"&amp;8&amp;P von &amp;N</oddFooter>
  </headerFooter>
  <rowBreaks count="1" manualBreakCount="1"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gv_Thema xmlns="D8C5E3F3-4633-495B-B274-DE63598597AD" xsi:nil="true"/>
    <Vgv_Phase xmlns="f18553e4-0ef6-4dd1-9e08-53b2286d7b98">2 Vorbereitung Vergabeverfahren</Vgv_Phas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ktbibliothek Dokument" ma:contentTypeID="0x010100E65520829C044D71A30CF51927CFE11900A942E5AF0C30B2459F1F03FA625618ED" ma:contentTypeVersion="0" ma:contentTypeDescription="" ma:contentTypeScope="" ma:versionID="082e2b1b93eee1f76911c34d5b76e11a">
  <xsd:schema xmlns:xsd="http://www.w3.org/2001/XMLSchema" xmlns:xs="http://www.w3.org/2001/XMLSchema" xmlns:p="http://schemas.microsoft.com/office/2006/metadata/properties" xmlns:ns2="f18553e4-0ef6-4dd1-9e08-53b2286d7b98" xmlns:ns3="D8C5E3F3-4633-495B-B274-DE63598597AD" targetNamespace="http://schemas.microsoft.com/office/2006/metadata/properties" ma:root="true" ma:fieldsID="a4fa906374d7fb7ee53209a6892f1f74" ns2:_="" ns3:_="">
    <xsd:import namespace="f18553e4-0ef6-4dd1-9e08-53b2286d7b98"/>
    <xsd:import namespace="D8C5E3F3-4633-495B-B274-DE63598597AD"/>
    <xsd:element name="properties">
      <xsd:complexType>
        <xsd:sequence>
          <xsd:element name="documentManagement">
            <xsd:complexType>
              <xsd:all>
                <xsd:element ref="ns2:Vgv_Phase" minOccurs="0"/>
                <xsd:element ref="ns3:Vgv_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553e4-0ef6-4dd1-9e08-53b2286d7b98" elementFormDefault="qualified">
    <xsd:import namespace="http://schemas.microsoft.com/office/2006/documentManagement/types"/>
    <xsd:import namespace="http://schemas.microsoft.com/office/infopath/2007/PartnerControls"/>
    <xsd:element name="Vgv_Phase" ma:index="8" nillable="true" ma:displayName="Phase" ma:format="Dropdown" ma:internalName="Vgv_Phase">
      <xsd:simpleType>
        <xsd:restriction base="dms:Choice">
          <xsd:enumeration value="1 Markterkundung"/>
          <xsd:enumeration value="2 Vorbereitung Vergabeverfahren"/>
          <xsd:enumeration value="3 Marktansprache"/>
          <xsd:enumeration value="4 Wertung + Zuschla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5E3F3-4633-495B-B274-DE63598597AD" elementFormDefault="qualified">
    <xsd:import namespace="http://schemas.microsoft.com/office/2006/documentManagement/types"/>
    <xsd:import namespace="http://schemas.microsoft.com/office/infopath/2007/PartnerControls"/>
    <xsd:element name="Vgv_Thema" ma:index="9" nillable="true" ma:displayName="Thema" ma:format="Dropdown" ma:internalName="Thema">
      <xsd:simpleType>
        <xsd:restriction base="dms:Choic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4F4BFB4-F7AE-4CA8-9C98-F1E73A5C28C9}">
  <ds:schemaRefs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D8C5E3F3-4633-495B-B274-DE63598597AD"/>
    <ds:schemaRef ds:uri="http://schemas.microsoft.com/office/2006/metadata/properties"/>
    <ds:schemaRef ds:uri="f18553e4-0ef6-4dd1-9e08-53b2286d7b98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97DE58-C3FE-4281-861D-6C1FD9EE6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8553e4-0ef6-4dd1-9e08-53b2286d7b98"/>
    <ds:schemaRef ds:uri="D8C5E3F3-4633-495B-B274-DE6359859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FFA1AC-466C-4710-B336-4DA3FE9EAB8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0E31BE-E086-4D03-932F-23273C8028EC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a48f69af-3265-4c12-b1e3-f63a8696e71d}" enabled="1" method="Standard" siteId="{777634b8-6549-48dd-89f9-71c677fea2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Glasaufmaß</vt:lpstr>
      <vt:lpstr>Glasaufmaß!Drucktitel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 Steinberger</dc:creator>
  <cp:keywords/>
  <cp:lastModifiedBy>Barris, Stephanie</cp:lastModifiedBy>
  <cp:lastPrinted>2022-04-21T14:27:11Z</cp:lastPrinted>
  <dcterms:created xsi:type="dcterms:W3CDTF">2006-09-08T07:39:57Z</dcterms:created>
  <dcterms:modified xsi:type="dcterms:W3CDTF">2026-04-07T13:13:04Z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TaxHTField">
    <vt:lpwstr/>
  </property>
  <property fmtid="{D5CDD505-2E9C-101B-9397-08002B2CF9AE}" pid="3" name="TaxKeyword">
    <vt:lpwstr/>
  </property>
  <property fmtid="{D5CDD505-2E9C-101B-9397-08002B2CF9AE}" pid="4" name="TaxCatchAll">
    <vt:lpwstr>2;#04 Ausschreibungsunterlagen|553e5bff-555e-401a-983d-a6b3d84b2d1f</vt:lpwstr>
  </property>
  <property fmtid="{D5CDD505-2E9C-101B-9397-08002B2CF9AE}" pid="5" name="g31c3d708c8744069439ccae486d1ca1">
    <vt:lpwstr/>
  </property>
  <property fmtid="{D5CDD505-2E9C-101B-9397-08002B2CF9AE}" pid="6" name="e42bc49bbbe1452485df24c6dd357f9c">
    <vt:lpwstr/>
  </property>
  <property fmtid="{D5CDD505-2E9C-101B-9397-08002B2CF9AE}" pid="7" name="Archiviert">
    <vt:lpwstr>0</vt:lpwstr>
  </property>
  <property fmtid="{D5CDD505-2E9C-101B-9397-08002B2CF9AE}" pid="8" name="TK-Unterthema">
    <vt:lpwstr/>
  </property>
  <property fmtid="{D5CDD505-2E9C-101B-9397-08002B2CF9AE}" pid="9" name="o0e325dbd5f84e5ca128b9366e3a05bb">
    <vt:lpwstr>04 Ausschreibungsunterlagen|553e5bff-555e-401a-983d-a6b3d84b2d1f</vt:lpwstr>
  </property>
  <property fmtid="{D5CDD505-2E9C-101B-9397-08002B2CF9AE}" pid="10" name="TK-Kategorie">
    <vt:lpwstr>2;#04 Ausschreibungsunterlagen|553e5bff-555e-401a-983d-a6b3d84b2d1f</vt:lpwstr>
  </property>
  <property fmtid="{D5CDD505-2E9C-101B-9397-08002B2CF9AE}" pid="11" name="TK-Thema">
    <vt:lpwstr/>
  </property>
  <property fmtid="{D5CDD505-2E9C-101B-9397-08002B2CF9AE}" pid="12" name="MSIP_Label_a48f69af-3265-4c12-b1e3-f63a8696e71d_Enabled">
    <vt:lpwstr>true</vt:lpwstr>
  </property>
  <property fmtid="{D5CDD505-2E9C-101B-9397-08002B2CF9AE}" pid="13" name="MSIP_Label_a48f69af-3265-4c12-b1e3-f63a8696e71d_SetDate">
    <vt:lpwstr>2021-12-17T10:58:00Z</vt:lpwstr>
  </property>
  <property fmtid="{D5CDD505-2E9C-101B-9397-08002B2CF9AE}" pid="14" name="MSIP_Label_a48f69af-3265-4c12-b1e3-f63a8696e71d_Method">
    <vt:lpwstr>Standard</vt:lpwstr>
  </property>
  <property fmtid="{D5CDD505-2E9C-101B-9397-08002B2CF9AE}" pid="15" name="MSIP_Label_a48f69af-3265-4c12-b1e3-f63a8696e71d_Name">
    <vt:lpwstr>Nur für den Dienstgebrauch</vt:lpwstr>
  </property>
  <property fmtid="{D5CDD505-2E9C-101B-9397-08002B2CF9AE}" pid="16" name="MSIP_Label_a48f69af-3265-4c12-b1e3-f63a8696e71d_SiteId">
    <vt:lpwstr>777634b8-6549-48dd-89f9-71c677fea243</vt:lpwstr>
  </property>
  <property fmtid="{D5CDD505-2E9C-101B-9397-08002B2CF9AE}" pid="17" name="MSIP_Label_a48f69af-3265-4c12-b1e3-f63a8696e71d_ActionId">
    <vt:lpwstr>94333b6d-c299-4606-a193-b5d5b2f4dc12</vt:lpwstr>
  </property>
  <property fmtid="{D5CDD505-2E9C-101B-9397-08002B2CF9AE}" pid="18" name="MSIP_Label_a48f69af-3265-4c12-b1e3-f63a8696e71d_ContentBits">
    <vt:lpwstr>0</vt:lpwstr>
  </property>
  <property fmtid="{D5CDD505-2E9C-101B-9397-08002B2CF9AE}" pid="19" name="ContentTypeId">
    <vt:lpwstr>0x010100E65520829C044D71A30CF51927CFE11900A942E5AF0C30B2459F1F03FA625618ED</vt:lpwstr>
  </property>
</Properties>
</file>